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Rozpočet\Návrh rozpočtu r. 2021\ZOOPARK Chomutov\"/>
    </mc:Choice>
  </mc:AlternateContent>
  <bookViews>
    <workbookView xWindow="-120" yWindow="-120" windowWidth="20730" windowHeight="11160"/>
  </bookViews>
  <sheets>
    <sheet name="NR 2021" sheetId="3" r:id="rId1"/>
    <sheet name="střediska " sheetId="5" r:id="rId2"/>
  </sheets>
  <definedNames>
    <definedName name="_xlnm.Print_Area" localSheetId="0">'NR 2021'!$A$1:$AC$99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9" i="5" l="1"/>
  <c r="W96" i="5" l="1"/>
  <c r="S96" i="5"/>
  <c r="O96" i="5"/>
  <c r="L96" i="5"/>
  <c r="J96" i="5" s="1"/>
  <c r="K96" i="5"/>
  <c r="W94" i="5"/>
  <c r="T94" i="5"/>
  <c r="S94" i="5"/>
  <c r="R94" i="5"/>
  <c r="O94" i="5"/>
  <c r="L94" i="5"/>
  <c r="K94" i="5"/>
  <c r="J94" i="5"/>
  <c r="T93" i="5"/>
  <c r="P93" i="5"/>
  <c r="O93" i="5"/>
  <c r="N93" i="5" s="1"/>
  <c r="L93" i="5"/>
  <c r="K93" i="5"/>
  <c r="J93" i="5"/>
  <c r="X92" i="5"/>
  <c r="V92" i="5" s="1"/>
  <c r="W92" i="5"/>
  <c r="T92" i="5"/>
  <c r="S92" i="5"/>
  <c r="R92" i="5" s="1"/>
  <c r="O92" i="5"/>
  <c r="N92" i="5" s="1"/>
  <c r="L92" i="5"/>
  <c r="K92" i="5"/>
  <c r="J92" i="5"/>
  <c r="X91" i="5"/>
  <c r="V91" i="5" s="1"/>
  <c r="W91" i="5"/>
  <c r="T91" i="5"/>
  <c r="S91" i="5"/>
  <c r="R91" i="5" s="1"/>
  <c r="P91" i="5"/>
  <c r="O91" i="5"/>
  <c r="N91" i="5" s="1"/>
  <c r="L91" i="5"/>
  <c r="K91" i="5"/>
  <c r="J91" i="5"/>
  <c r="W90" i="5"/>
  <c r="T90" i="5"/>
  <c r="S90" i="5"/>
  <c r="R90" i="5" s="1"/>
  <c r="P90" i="5"/>
  <c r="O90" i="5"/>
  <c r="N90" i="5" s="1"/>
  <c r="L90" i="5"/>
  <c r="K90" i="5"/>
  <c r="J90" i="5"/>
  <c r="X89" i="5"/>
  <c r="T89" i="5"/>
  <c r="O89" i="5"/>
  <c r="N89" i="5" s="1"/>
  <c r="L89" i="5"/>
  <c r="K89" i="5"/>
  <c r="J89" i="5"/>
  <c r="X88" i="5"/>
  <c r="W88" i="5"/>
  <c r="V88" i="5" s="1"/>
  <c r="T88" i="5"/>
  <c r="S88" i="5"/>
  <c r="R88" i="5" s="1"/>
  <c r="O88" i="5"/>
  <c r="N88" i="5" s="1"/>
  <c r="L88" i="5"/>
  <c r="K88" i="5"/>
  <c r="J88" i="5"/>
  <c r="X87" i="5"/>
  <c r="W87" i="5"/>
  <c r="V87" i="5" s="1"/>
  <c r="T87" i="5"/>
  <c r="S87" i="5"/>
  <c r="R87" i="5" s="1"/>
  <c r="P87" i="5"/>
  <c r="O87" i="5"/>
  <c r="N87" i="5" s="1"/>
  <c r="L87" i="5"/>
  <c r="K87" i="5"/>
  <c r="J87" i="5"/>
  <c r="T86" i="5"/>
  <c r="P86" i="5"/>
  <c r="O86" i="5"/>
  <c r="N86" i="5" s="1"/>
  <c r="L86" i="5"/>
  <c r="K86" i="5"/>
  <c r="J86" i="5"/>
  <c r="W85" i="5"/>
  <c r="T85" i="5"/>
  <c r="S85" i="5"/>
  <c r="R85" i="5" s="1"/>
  <c r="O85" i="5"/>
  <c r="L85" i="5"/>
  <c r="K85" i="5"/>
  <c r="J85" i="5"/>
  <c r="T84" i="5"/>
  <c r="O84" i="5"/>
  <c r="O97" i="5" s="1"/>
  <c r="L84" i="5"/>
  <c r="K84" i="5"/>
  <c r="J84" i="5"/>
  <c r="D84" i="5"/>
  <c r="C84" i="5"/>
  <c r="B84" i="5"/>
  <c r="W83" i="5"/>
  <c r="T83" i="5"/>
  <c r="S83" i="5"/>
  <c r="R83" i="5" s="1"/>
  <c r="P83" i="5"/>
  <c r="O83" i="5"/>
  <c r="N83" i="5"/>
  <c r="L83" i="5"/>
  <c r="K83" i="5"/>
  <c r="J83" i="5" s="1"/>
  <c r="X82" i="5"/>
  <c r="W82" i="5"/>
  <c r="V82" i="5" s="1"/>
  <c r="T82" i="5"/>
  <c r="S82" i="5"/>
  <c r="R82" i="5" s="1"/>
  <c r="P82" i="5"/>
  <c r="O82" i="5"/>
  <c r="N82" i="5"/>
  <c r="L82" i="5"/>
  <c r="K82" i="5"/>
  <c r="J82" i="5" s="1"/>
  <c r="X81" i="5"/>
  <c r="W81" i="5"/>
  <c r="V81" i="5" s="1"/>
  <c r="T81" i="5"/>
  <c r="S81" i="5"/>
  <c r="R81" i="5" s="1"/>
  <c r="P81" i="5"/>
  <c r="O81" i="5"/>
  <c r="N81" i="5"/>
  <c r="L81" i="5"/>
  <c r="K81" i="5"/>
  <c r="J81" i="5" s="1"/>
  <c r="X80" i="5"/>
  <c r="W80" i="5"/>
  <c r="V80" i="5" s="1"/>
  <c r="T80" i="5"/>
  <c r="S80" i="5"/>
  <c r="R80" i="5" s="1"/>
  <c r="P80" i="5"/>
  <c r="O80" i="5"/>
  <c r="N80" i="5"/>
  <c r="L80" i="5"/>
  <c r="K80" i="5"/>
  <c r="J80" i="5" s="1"/>
  <c r="X79" i="5"/>
  <c r="W79" i="5"/>
  <c r="V79" i="5" s="1"/>
  <c r="T79" i="5"/>
  <c r="S79" i="5"/>
  <c r="R79" i="5" s="1"/>
  <c r="P79" i="5"/>
  <c r="O79" i="5"/>
  <c r="N79" i="5"/>
  <c r="L79" i="5"/>
  <c r="K79" i="5"/>
  <c r="J79" i="5" s="1"/>
  <c r="X78" i="5"/>
  <c r="T78" i="5"/>
  <c r="S78" i="5"/>
  <c r="R78" i="5" s="1"/>
  <c r="P78" i="5"/>
  <c r="O78" i="5"/>
  <c r="N78" i="5"/>
  <c r="L78" i="5"/>
  <c r="K78" i="5"/>
  <c r="J78" i="5" s="1"/>
  <c r="J77" i="5" s="1"/>
  <c r="J95" i="5" s="1"/>
  <c r="J97" i="5" s="1"/>
  <c r="T77" i="5"/>
  <c r="T95" i="5" s="1"/>
  <c r="S77" i="5"/>
  <c r="P77" i="5"/>
  <c r="O77" i="5"/>
  <c r="O95" i="5" s="1"/>
  <c r="N77" i="5"/>
  <c r="L77" i="5"/>
  <c r="L95" i="5" s="1"/>
  <c r="L97" i="5" s="1"/>
  <c r="K77" i="5"/>
  <c r="K95" i="5" s="1"/>
  <c r="D77" i="5"/>
  <c r="D95" i="5" s="1"/>
  <c r="D97" i="5" s="1"/>
  <c r="C77" i="5"/>
  <c r="C97" i="5" s="1"/>
  <c r="B77" i="5"/>
  <c r="B95" i="5" s="1"/>
  <c r="W73" i="5"/>
  <c r="L73" i="5"/>
  <c r="N72" i="5"/>
  <c r="J72" i="5"/>
  <c r="F72" i="5"/>
  <c r="B72" i="5"/>
  <c r="W71" i="5"/>
  <c r="S71" i="5"/>
  <c r="S73" i="5" s="1"/>
  <c r="O71" i="5"/>
  <c r="O73" i="5" s="1"/>
  <c r="L71" i="5"/>
  <c r="H71" i="5"/>
  <c r="B71" i="5"/>
  <c r="B73" i="5" s="1"/>
  <c r="V70" i="5"/>
  <c r="R70" i="5"/>
  <c r="N70" i="5"/>
  <c r="J70" i="5"/>
  <c r="F70" i="5"/>
  <c r="V69" i="5"/>
  <c r="R69" i="5"/>
  <c r="N69" i="5"/>
  <c r="J69" i="5"/>
  <c r="F69" i="5"/>
  <c r="V68" i="5"/>
  <c r="R68" i="5"/>
  <c r="N68" i="5"/>
  <c r="J68" i="5"/>
  <c r="F68" i="5"/>
  <c r="V67" i="5"/>
  <c r="V60" i="5" s="1"/>
  <c r="R67" i="5"/>
  <c r="N67" i="5"/>
  <c r="J67" i="5"/>
  <c r="F67" i="5"/>
  <c r="V66" i="5"/>
  <c r="R66" i="5"/>
  <c r="N66" i="5"/>
  <c r="J66" i="5"/>
  <c r="F66" i="5"/>
  <c r="V65" i="5"/>
  <c r="R65" i="5"/>
  <c r="N65" i="5"/>
  <c r="J65" i="5"/>
  <c r="F65" i="5"/>
  <c r="V64" i="5"/>
  <c r="R64" i="5"/>
  <c r="P64" i="5"/>
  <c r="N64" i="5" s="1"/>
  <c r="J64" i="5"/>
  <c r="F64" i="5"/>
  <c r="V63" i="5"/>
  <c r="R63" i="5"/>
  <c r="N63" i="5"/>
  <c r="J63" i="5"/>
  <c r="F63" i="5"/>
  <c r="F60" i="5" s="1"/>
  <c r="V62" i="5"/>
  <c r="R62" i="5"/>
  <c r="N62" i="5"/>
  <c r="J62" i="5"/>
  <c r="F62" i="5"/>
  <c r="V61" i="5"/>
  <c r="R61" i="5"/>
  <c r="R60" i="5" s="1"/>
  <c r="N61" i="5"/>
  <c r="J61" i="5"/>
  <c r="F61" i="5"/>
  <c r="X60" i="5"/>
  <c r="X71" i="5" s="1"/>
  <c r="T60" i="5"/>
  <c r="P60" i="5"/>
  <c r="L60" i="5"/>
  <c r="K60" i="5"/>
  <c r="J60" i="5"/>
  <c r="H60" i="5"/>
  <c r="G60" i="5"/>
  <c r="D60" i="5"/>
  <c r="C60" i="5"/>
  <c r="B60" i="5"/>
  <c r="V59" i="5"/>
  <c r="R59" i="5"/>
  <c r="N59" i="5"/>
  <c r="J59" i="5"/>
  <c r="F59" i="5"/>
  <c r="V58" i="5"/>
  <c r="R58" i="5"/>
  <c r="N58" i="5"/>
  <c r="J58" i="5"/>
  <c r="F58" i="5"/>
  <c r="V57" i="5"/>
  <c r="R57" i="5"/>
  <c r="N57" i="5"/>
  <c r="J57" i="5"/>
  <c r="J53" i="5" s="1"/>
  <c r="J71" i="5" s="1"/>
  <c r="J73" i="5" s="1"/>
  <c r="F57" i="5"/>
  <c r="V56" i="5"/>
  <c r="R56" i="5"/>
  <c r="N56" i="5"/>
  <c r="J56" i="5"/>
  <c r="F56" i="5"/>
  <c r="V55" i="5"/>
  <c r="R55" i="5"/>
  <c r="N55" i="5"/>
  <c r="N53" i="5" s="1"/>
  <c r="J55" i="5"/>
  <c r="F55" i="5"/>
  <c r="V54" i="5"/>
  <c r="V53" i="5" s="1"/>
  <c r="V71" i="5" s="1"/>
  <c r="R54" i="5"/>
  <c r="N54" i="5"/>
  <c r="J54" i="5"/>
  <c r="F54" i="5"/>
  <c r="F53" i="5" s="1"/>
  <c r="X53" i="5"/>
  <c r="T53" i="5"/>
  <c r="T71" i="5" s="1"/>
  <c r="R53" i="5"/>
  <c r="R71" i="5" s="1"/>
  <c r="P53" i="5"/>
  <c r="P71" i="5" s="1"/>
  <c r="P73" i="5" s="1"/>
  <c r="L53" i="5"/>
  <c r="K53" i="5"/>
  <c r="K71" i="5" s="1"/>
  <c r="K73" i="5" s="1"/>
  <c r="H53" i="5"/>
  <c r="H73" i="5" s="1"/>
  <c r="D53" i="5"/>
  <c r="D71" i="5" s="1"/>
  <c r="D73" i="5" s="1"/>
  <c r="C53" i="5"/>
  <c r="C71" i="5" s="1"/>
  <c r="C73" i="5" s="1"/>
  <c r="B53" i="5"/>
  <c r="V48" i="5"/>
  <c r="R48" i="5"/>
  <c r="P48" i="5"/>
  <c r="N48" i="5"/>
  <c r="J48" i="5"/>
  <c r="F48" i="5"/>
  <c r="D48" i="5"/>
  <c r="B48" i="5"/>
  <c r="T47" i="5"/>
  <c r="T49" i="5" s="1"/>
  <c r="O47" i="5"/>
  <c r="O49" i="5" s="1"/>
  <c r="D47" i="5"/>
  <c r="D49" i="5" s="1"/>
  <c r="X46" i="5"/>
  <c r="X94" i="5" s="1"/>
  <c r="V46" i="5"/>
  <c r="R46" i="5"/>
  <c r="P46" i="5"/>
  <c r="N46" i="5" s="1"/>
  <c r="J46" i="5"/>
  <c r="F46" i="5"/>
  <c r="D46" i="5"/>
  <c r="C46" i="5"/>
  <c r="B46" i="5"/>
  <c r="X45" i="5"/>
  <c r="X93" i="5" s="1"/>
  <c r="W45" i="5"/>
  <c r="W93" i="5" s="1"/>
  <c r="S45" i="5"/>
  <c r="N45" i="5"/>
  <c r="J45" i="5"/>
  <c r="F45" i="5"/>
  <c r="D45" i="5"/>
  <c r="C45" i="5"/>
  <c r="B45" i="5" s="1"/>
  <c r="V44" i="5"/>
  <c r="R44" i="5"/>
  <c r="P44" i="5"/>
  <c r="P92" i="5" s="1"/>
  <c r="J44" i="5"/>
  <c r="F44" i="5"/>
  <c r="D44" i="5"/>
  <c r="C44" i="5"/>
  <c r="B44" i="5"/>
  <c r="V43" i="5"/>
  <c r="R43" i="5"/>
  <c r="N43" i="5"/>
  <c r="J43" i="5"/>
  <c r="F43" i="5"/>
  <c r="D43" i="5"/>
  <c r="C43" i="5"/>
  <c r="B43" i="5"/>
  <c r="X42" i="5"/>
  <c r="V42" i="5" s="1"/>
  <c r="R42" i="5"/>
  <c r="N42" i="5"/>
  <c r="J42" i="5"/>
  <c r="F42" i="5"/>
  <c r="D42" i="5"/>
  <c r="C42" i="5"/>
  <c r="B42" i="5" s="1"/>
  <c r="W41" i="5"/>
  <c r="W89" i="5" s="1"/>
  <c r="V89" i="5" s="1"/>
  <c r="S41" i="5"/>
  <c r="P41" i="5"/>
  <c r="P89" i="5" s="1"/>
  <c r="J41" i="5"/>
  <c r="F41" i="5"/>
  <c r="D41" i="5"/>
  <c r="C41" i="5"/>
  <c r="B41" i="5"/>
  <c r="V40" i="5"/>
  <c r="R40" i="5"/>
  <c r="P40" i="5"/>
  <c r="P88" i="5" s="1"/>
  <c r="N40" i="5"/>
  <c r="J40" i="5"/>
  <c r="F40" i="5"/>
  <c r="D40" i="5"/>
  <c r="C40" i="5"/>
  <c r="B40" i="5" s="1"/>
  <c r="V39" i="5"/>
  <c r="R39" i="5"/>
  <c r="N39" i="5"/>
  <c r="J39" i="5"/>
  <c r="F39" i="5"/>
  <c r="D39" i="5"/>
  <c r="C39" i="5"/>
  <c r="B39" i="5" s="1"/>
  <c r="X38" i="5"/>
  <c r="X86" i="5" s="1"/>
  <c r="W38" i="5"/>
  <c r="W86" i="5" s="1"/>
  <c r="V38" i="5"/>
  <c r="S38" i="5"/>
  <c r="R38" i="5" s="1"/>
  <c r="N38" i="5"/>
  <c r="J38" i="5"/>
  <c r="J36" i="5" s="1"/>
  <c r="F38" i="5"/>
  <c r="D38" i="5"/>
  <c r="C38" i="5"/>
  <c r="B38" i="5"/>
  <c r="V37" i="5"/>
  <c r="R37" i="5"/>
  <c r="P37" i="5"/>
  <c r="P85" i="5" s="1"/>
  <c r="P84" i="5" s="1"/>
  <c r="N37" i="5"/>
  <c r="J37" i="5"/>
  <c r="F37" i="5"/>
  <c r="D37" i="5"/>
  <c r="C37" i="5"/>
  <c r="W36" i="5"/>
  <c r="T36" i="5"/>
  <c r="P36" i="5"/>
  <c r="O36" i="5"/>
  <c r="L36" i="5"/>
  <c r="K36" i="5"/>
  <c r="H36" i="5"/>
  <c r="G36" i="5"/>
  <c r="F36" i="5"/>
  <c r="D36" i="5"/>
  <c r="X35" i="5"/>
  <c r="R35" i="5"/>
  <c r="N35" i="5"/>
  <c r="J35" i="5"/>
  <c r="F35" i="5"/>
  <c r="D35" i="5"/>
  <c r="C35" i="5"/>
  <c r="B35" i="5"/>
  <c r="V34" i="5"/>
  <c r="R34" i="5"/>
  <c r="N34" i="5"/>
  <c r="J34" i="5"/>
  <c r="F34" i="5"/>
  <c r="D34" i="5"/>
  <c r="C34" i="5"/>
  <c r="B34" i="5"/>
  <c r="V33" i="5"/>
  <c r="R33" i="5"/>
  <c r="N33" i="5"/>
  <c r="J33" i="5"/>
  <c r="F33" i="5"/>
  <c r="D33" i="5"/>
  <c r="C33" i="5"/>
  <c r="B33" i="5"/>
  <c r="V32" i="5"/>
  <c r="R32" i="5"/>
  <c r="N32" i="5"/>
  <c r="J32" i="5"/>
  <c r="F32" i="5"/>
  <c r="D32" i="5"/>
  <c r="C32" i="5"/>
  <c r="B32" i="5"/>
  <c r="V31" i="5"/>
  <c r="R31" i="5"/>
  <c r="N31" i="5"/>
  <c r="J31" i="5"/>
  <c r="J29" i="5" s="1"/>
  <c r="J47" i="5" s="1"/>
  <c r="J49" i="5" s="1"/>
  <c r="F31" i="5"/>
  <c r="D31" i="5"/>
  <c r="C31" i="5"/>
  <c r="B31" i="5"/>
  <c r="X30" i="5"/>
  <c r="X29" i="5" s="1"/>
  <c r="W30" i="5"/>
  <c r="V30" i="5" s="1"/>
  <c r="R30" i="5"/>
  <c r="N30" i="5"/>
  <c r="N29" i="5" s="1"/>
  <c r="J30" i="5"/>
  <c r="F30" i="5"/>
  <c r="D30" i="5"/>
  <c r="D29" i="5" s="1"/>
  <c r="C30" i="5"/>
  <c r="B30" i="5" s="1"/>
  <c r="W29" i="5"/>
  <c r="W47" i="5" s="1"/>
  <c r="W49" i="5" s="1"/>
  <c r="T29" i="5"/>
  <c r="S29" i="5"/>
  <c r="R29" i="5"/>
  <c r="P29" i="5"/>
  <c r="P47" i="5" s="1"/>
  <c r="P49" i="5" s="1"/>
  <c r="O29" i="5"/>
  <c r="L29" i="5"/>
  <c r="L47" i="5" s="1"/>
  <c r="L49" i="5" s="1"/>
  <c r="K29" i="5"/>
  <c r="K47" i="5" s="1"/>
  <c r="K49" i="5" s="1"/>
  <c r="H29" i="5"/>
  <c r="H49" i="5" s="1"/>
  <c r="G29" i="5"/>
  <c r="F29" i="5"/>
  <c r="F47" i="5" s="1"/>
  <c r="B29" i="5"/>
  <c r="T25" i="5"/>
  <c r="H25" i="5"/>
  <c r="C25" i="5"/>
  <c r="V24" i="5"/>
  <c r="R24" i="5"/>
  <c r="P24" i="5"/>
  <c r="J24" i="5"/>
  <c r="B24" i="5"/>
  <c r="S23" i="5"/>
  <c r="S25" i="5" s="1"/>
  <c r="H23" i="5"/>
  <c r="C23" i="5"/>
  <c r="V22" i="5"/>
  <c r="R22" i="5"/>
  <c r="N22" i="5"/>
  <c r="J22" i="5"/>
  <c r="V21" i="5"/>
  <c r="R21" i="5"/>
  <c r="N21" i="5"/>
  <c r="J21" i="5"/>
  <c r="V20" i="5"/>
  <c r="R20" i="5"/>
  <c r="N20" i="5"/>
  <c r="J20" i="5"/>
  <c r="V19" i="5"/>
  <c r="R19" i="5"/>
  <c r="N19" i="5"/>
  <c r="J19" i="5"/>
  <c r="V18" i="5"/>
  <c r="R18" i="5"/>
  <c r="N18" i="5"/>
  <c r="J18" i="5"/>
  <c r="V17" i="5"/>
  <c r="R17" i="5"/>
  <c r="N17" i="5"/>
  <c r="J17" i="5"/>
  <c r="V16" i="5"/>
  <c r="R16" i="5"/>
  <c r="N16" i="5"/>
  <c r="J16" i="5"/>
  <c r="V15" i="5"/>
  <c r="R15" i="5"/>
  <c r="N15" i="5"/>
  <c r="J15" i="5"/>
  <c r="V14" i="5"/>
  <c r="R14" i="5"/>
  <c r="N14" i="5"/>
  <c r="J14" i="5"/>
  <c r="J12" i="5" s="1"/>
  <c r="X13" i="5"/>
  <c r="V13" i="5" s="1"/>
  <c r="V12" i="5" s="1"/>
  <c r="R13" i="5"/>
  <c r="R12" i="5" s="1"/>
  <c r="N13" i="5"/>
  <c r="N12" i="5" s="1"/>
  <c r="N23" i="5" s="1"/>
  <c r="J13" i="5"/>
  <c r="W12" i="5"/>
  <c r="T12" i="5"/>
  <c r="S12" i="5"/>
  <c r="P12" i="5"/>
  <c r="O12" i="5"/>
  <c r="L12" i="5"/>
  <c r="K12" i="5"/>
  <c r="H12" i="5"/>
  <c r="G12" i="5"/>
  <c r="F12" i="5"/>
  <c r="D12" i="5"/>
  <c r="C12" i="5"/>
  <c r="B12" i="5"/>
  <c r="V11" i="5"/>
  <c r="R11" i="5"/>
  <c r="N11" i="5"/>
  <c r="J11" i="5"/>
  <c r="V10" i="5"/>
  <c r="R10" i="5"/>
  <c r="N10" i="5"/>
  <c r="J10" i="5"/>
  <c r="V9" i="5"/>
  <c r="R9" i="5"/>
  <c r="N9" i="5"/>
  <c r="J9" i="5"/>
  <c r="V8" i="5"/>
  <c r="R8" i="5"/>
  <c r="N8" i="5"/>
  <c r="J8" i="5"/>
  <c r="V7" i="5"/>
  <c r="R7" i="5"/>
  <c r="N7" i="5"/>
  <c r="J7" i="5"/>
  <c r="J5" i="5" s="1"/>
  <c r="J23" i="5" s="1"/>
  <c r="J25" i="5" s="1"/>
  <c r="X6" i="5"/>
  <c r="V6" i="5" s="1"/>
  <c r="V5" i="5" s="1"/>
  <c r="V23" i="5" s="1"/>
  <c r="V25" i="5" s="1"/>
  <c r="R6" i="5"/>
  <c r="N6" i="5"/>
  <c r="N5" i="5" s="1"/>
  <c r="J6" i="5"/>
  <c r="W5" i="5"/>
  <c r="W23" i="5" s="1"/>
  <c r="W25" i="5" s="1"/>
  <c r="T5" i="5"/>
  <c r="T23" i="5" s="1"/>
  <c r="S5" i="5"/>
  <c r="R5" i="5"/>
  <c r="P5" i="5"/>
  <c r="P23" i="5" s="1"/>
  <c r="O5" i="5"/>
  <c r="O23" i="5" s="1"/>
  <c r="O25" i="5" s="1"/>
  <c r="L5" i="5"/>
  <c r="K5" i="5"/>
  <c r="K23" i="5" s="1"/>
  <c r="K25" i="5" s="1"/>
  <c r="H5" i="5"/>
  <c r="G5" i="5"/>
  <c r="F5" i="5"/>
  <c r="D5" i="5"/>
  <c r="D23" i="5" s="1"/>
  <c r="D25" i="5" s="1"/>
  <c r="C5" i="5"/>
  <c r="B5" i="5"/>
  <c r="R23" i="5" l="1"/>
  <c r="R25" i="5" s="1"/>
  <c r="V35" i="5"/>
  <c r="X83" i="5"/>
  <c r="X77" i="5" s="1"/>
  <c r="C36" i="5"/>
  <c r="B37" i="5"/>
  <c r="B36" i="5" s="1"/>
  <c r="B47" i="5" s="1"/>
  <c r="B49" i="5" s="1"/>
  <c r="F25" i="5"/>
  <c r="F23" i="5"/>
  <c r="L23" i="5"/>
  <c r="L25" i="5" s="1"/>
  <c r="T73" i="5"/>
  <c r="T72" i="5"/>
  <c r="P95" i="5"/>
  <c r="B23" i="5"/>
  <c r="B25" i="5" s="1"/>
  <c r="P96" i="5"/>
  <c r="N96" i="5" s="1"/>
  <c r="N24" i="5"/>
  <c r="N25" i="5" s="1"/>
  <c r="V93" i="5"/>
  <c r="V85" i="5"/>
  <c r="V94" i="5"/>
  <c r="N36" i="5"/>
  <c r="N47" i="5" s="1"/>
  <c r="N49" i="5" s="1"/>
  <c r="W84" i="5"/>
  <c r="V86" i="5"/>
  <c r="S93" i="5"/>
  <c r="R93" i="5" s="1"/>
  <c r="R45" i="5"/>
  <c r="R36" i="5" s="1"/>
  <c r="R47" i="5" s="1"/>
  <c r="R49" i="5" s="1"/>
  <c r="R77" i="5"/>
  <c r="G25" i="5"/>
  <c r="G47" i="5"/>
  <c r="G49" i="5"/>
  <c r="V29" i="5"/>
  <c r="S89" i="5"/>
  <c r="R89" i="5" s="1"/>
  <c r="R41" i="5"/>
  <c r="F71" i="5"/>
  <c r="F73" i="5"/>
  <c r="X72" i="5"/>
  <c r="X73" i="5"/>
  <c r="N60" i="5"/>
  <c r="N71" i="5" s="1"/>
  <c r="N73" i="5" s="1"/>
  <c r="V83" i="5"/>
  <c r="N85" i="5"/>
  <c r="N84" i="5" s="1"/>
  <c r="N95" i="5" s="1"/>
  <c r="G23" i="5"/>
  <c r="H47" i="5"/>
  <c r="F49" i="5"/>
  <c r="W78" i="5"/>
  <c r="X85" i="5"/>
  <c r="S86" i="5"/>
  <c r="X90" i="5"/>
  <c r="V90" i="5" s="1"/>
  <c r="C95" i="5"/>
  <c r="X12" i="5"/>
  <c r="C29" i="5"/>
  <c r="C47" i="5" s="1"/>
  <c r="C49" i="5" s="1"/>
  <c r="N41" i="5"/>
  <c r="V41" i="5"/>
  <c r="V36" i="5" s="1"/>
  <c r="N44" i="5"/>
  <c r="V45" i="5"/>
  <c r="B97" i="5"/>
  <c r="K97" i="5"/>
  <c r="P97" i="5"/>
  <c r="X5" i="5"/>
  <c r="S36" i="5"/>
  <c r="S47" i="5" s="1"/>
  <c r="S49" i="5" s="1"/>
  <c r="X36" i="5"/>
  <c r="X47" i="5" s="1"/>
  <c r="X49" i="5" s="1"/>
  <c r="N97" i="5" l="1"/>
  <c r="X96" i="5"/>
  <c r="V96" i="5" s="1"/>
  <c r="V72" i="5"/>
  <c r="V73" i="5" s="1"/>
  <c r="R86" i="5"/>
  <c r="R84" i="5" s="1"/>
  <c r="R95" i="5" s="1"/>
  <c r="S84" i="5"/>
  <c r="V84" i="5"/>
  <c r="X84" i="5"/>
  <c r="X95" i="5" s="1"/>
  <c r="X23" i="5"/>
  <c r="X25" i="5" s="1"/>
  <c r="V78" i="5"/>
  <c r="V77" i="5" s="1"/>
  <c r="W77" i="5"/>
  <c r="T96" i="5"/>
  <c r="R72" i="5"/>
  <c r="R73" i="5" s="1"/>
  <c r="V47" i="5"/>
  <c r="V49" i="5" s="1"/>
  <c r="T97" i="5" l="1"/>
  <c r="R96" i="5"/>
  <c r="R97" i="5" s="1"/>
  <c r="X97" i="5"/>
  <c r="W97" i="5"/>
  <c r="W95" i="5"/>
  <c r="V95" i="5"/>
  <c r="V97" i="5"/>
  <c r="S97" i="5"/>
  <c r="S95" i="5"/>
  <c r="X52" i="3" l="1"/>
  <c r="X38" i="3"/>
  <c r="V34" i="3"/>
  <c r="V33" i="3"/>
  <c r="X34" i="3"/>
  <c r="X33" i="3"/>
  <c r="V37" i="3"/>
  <c r="V31" i="3"/>
  <c r="V29" i="3"/>
  <c r="X32" i="3" l="1"/>
  <c r="W32" i="3"/>
  <c r="V32" i="3"/>
  <c r="Z32" i="3"/>
  <c r="W52" i="3"/>
  <c r="W50" i="3" s="1"/>
  <c r="V50" i="3"/>
  <c r="X50" i="3"/>
  <c r="Y50" i="3" l="1"/>
  <c r="F50" i="3" l="1"/>
  <c r="E50" i="3"/>
  <c r="D50" i="3"/>
  <c r="G50" i="3" l="1"/>
  <c r="D35" i="3"/>
  <c r="D28" i="3"/>
  <c r="D38" i="3"/>
  <c r="D29" i="3"/>
  <c r="D30" i="3"/>
  <c r="D33" i="3"/>
  <c r="D32" i="3" s="1"/>
  <c r="E32" i="3"/>
  <c r="F32" i="3"/>
  <c r="H32" i="3"/>
  <c r="M54" i="3" l="1"/>
  <c r="J53" i="3"/>
  <c r="M53" i="3" s="1"/>
  <c r="K52" i="3"/>
  <c r="M52" i="3" s="1"/>
  <c r="M51" i="3"/>
  <c r="L50" i="3"/>
  <c r="J50" i="3" l="1"/>
  <c r="M50" i="3" s="1"/>
  <c r="K50" i="3"/>
  <c r="S54" i="3"/>
  <c r="S53" i="3"/>
  <c r="S52" i="3"/>
  <c r="S51" i="3"/>
  <c r="R50" i="3"/>
  <c r="Q50" i="3"/>
  <c r="P50" i="3"/>
  <c r="J16" i="3"/>
  <c r="M15" i="3"/>
  <c r="O15" i="3" s="1"/>
  <c r="M16" i="3"/>
  <c r="O16" i="3" s="1"/>
  <c r="M17" i="3"/>
  <c r="O17" i="3" s="1"/>
  <c r="M18" i="3"/>
  <c r="O18" i="3" s="1"/>
  <c r="M19" i="3"/>
  <c r="O19" i="3" s="1"/>
  <c r="M20" i="3"/>
  <c r="O20" i="3" s="1"/>
  <c r="M21" i="3"/>
  <c r="O21" i="3" s="1"/>
  <c r="M22" i="3"/>
  <c r="O22" i="3" s="1"/>
  <c r="M23" i="3"/>
  <c r="O23" i="3" s="1"/>
  <c r="S50" i="3" l="1"/>
  <c r="M34" i="3" l="1"/>
  <c r="Z24" i="3" l="1"/>
  <c r="X24" i="3"/>
  <c r="W24" i="3"/>
  <c r="V24" i="3"/>
  <c r="T24" i="3"/>
  <c r="R24" i="3"/>
  <c r="Q24" i="3"/>
  <c r="S24" i="3" s="1"/>
  <c r="P24" i="3"/>
  <c r="N24" i="3"/>
  <c r="L24" i="3"/>
  <c r="K24" i="3"/>
  <c r="J24" i="3"/>
  <c r="H24" i="3"/>
  <c r="F24" i="3"/>
  <c r="E24" i="3"/>
  <c r="D24" i="3"/>
  <c r="G24" i="3" l="1"/>
  <c r="Y24" i="3"/>
  <c r="M24" i="3"/>
  <c r="Y54" i="3"/>
  <c r="Y53" i="3"/>
  <c r="Y52" i="3"/>
  <c r="Y51" i="3"/>
  <c r="G53" i="3"/>
  <c r="G54" i="3"/>
  <c r="Z39" i="3"/>
  <c r="X39" i="3"/>
  <c r="W39" i="3"/>
  <c r="W40" i="3" s="1"/>
  <c r="V39" i="3"/>
  <c r="Y38" i="3"/>
  <c r="Y37" i="3"/>
  <c r="Y36" i="3"/>
  <c r="Y35" i="3"/>
  <c r="Y34" i="3"/>
  <c r="Y33" i="3"/>
  <c r="Y32" i="3"/>
  <c r="Y31" i="3"/>
  <c r="Y30" i="3"/>
  <c r="Y29" i="3"/>
  <c r="Y28" i="3"/>
  <c r="Y23" i="3"/>
  <c r="Y22" i="3"/>
  <c r="Y21" i="3"/>
  <c r="Y20" i="3"/>
  <c r="Y19" i="3"/>
  <c r="Y18" i="3"/>
  <c r="Y17" i="3"/>
  <c r="Y16" i="3"/>
  <c r="Y15" i="3"/>
  <c r="S15" i="3"/>
  <c r="T39" i="3"/>
  <c r="R39" i="3"/>
  <c r="Q39" i="3"/>
  <c r="P39" i="3"/>
  <c r="S38" i="3"/>
  <c r="U38" i="3" s="1"/>
  <c r="S37" i="3"/>
  <c r="U37" i="3" s="1"/>
  <c r="S36" i="3"/>
  <c r="U36" i="3" s="1"/>
  <c r="S35" i="3"/>
  <c r="U35" i="3" s="1"/>
  <c r="S34" i="3"/>
  <c r="U34" i="3" s="1"/>
  <c r="S33" i="3"/>
  <c r="U33" i="3" s="1"/>
  <c r="S32" i="3"/>
  <c r="U32" i="3" s="1"/>
  <c r="S31" i="3"/>
  <c r="U31" i="3" s="1"/>
  <c r="S30" i="3"/>
  <c r="U30" i="3" s="1"/>
  <c r="S29" i="3"/>
  <c r="U29" i="3" s="1"/>
  <c r="S28" i="3"/>
  <c r="U28" i="3" s="1"/>
  <c r="S23" i="3"/>
  <c r="U23" i="3" s="1"/>
  <c r="S22" i="3"/>
  <c r="U22" i="3" s="1"/>
  <c r="S21" i="3"/>
  <c r="U21" i="3" s="1"/>
  <c r="S20" i="3"/>
  <c r="U20" i="3" s="1"/>
  <c r="S19" i="3"/>
  <c r="U19" i="3" s="1"/>
  <c r="S18" i="3"/>
  <c r="U18" i="3" s="1"/>
  <c r="S17" i="3"/>
  <c r="U17" i="3" s="1"/>
  <c r="S16" i="3"/>
  <c r="U16" i="3" s="1"/>
  <c r="U15" i="3"/>
  <c r="U24" i="3" l="1"/>
  <c r="AA18" i="3"/>
  <c r="AA22" i="3"/>
  <c r="AA29" i="3"/>
  <c r="AA33" i="3"/>
  <c r="AA37" i="3"/>
  <c r="AA15" i="3"/>
  <c r="AA19" i="3"/>
  <c r="AA23" i="3"/>
  <c r="AA30" i="3"/>
  <c r="AA34" i="3"/>
  <c r="AA38" i="3"/>
  <c r="AA16" i="3"/>
  <c r="AA20" i="3"/>
  <c r="AA31" i="3"/>
  <c r="AA35" i="3"/>
  <c r="AA17" i="3"/>
  <c r="AA21" i="3"/>
  <c r="AA28" i="3"/>
  <c r="AA32" i="3"/>
  <c r="AA36" i="3"/>
  <c r="Z40" i="3"/>
  <c r="X40" i="3"/>
  <c r="V40" i="3"/>
  <c r="Y39" i="3"/>
  <c r="R40" i="3"/>
  <c r="T40" i="3"/>
  <c r="S39" i="3"/>
  <c r="Q40" i="3"/>
  <c r="U39" i="3"/>
  <c r="P40" i="3"/>
  <c r="G28" i="3"/>
  <c r="G15" i="3"/>
  <c r="AA24" i="3" l="1"/>
  <c r="AA39" i="3"/>
  <c r="Y40" i="3"/>
  <c r="S40" i="3"/>
  <c r="U40" i="3"/>
  <c r="G38" i="3"/>
  <c r="AA40" i="3" l="1"/>
  <c r="AA41" i="3" s="1"/>
  <c r="U41" i="3"/>
  <c r="G18" i="3"/>
  <c r="G51" i="3" l="1"/>
  <c r="G52" i="3"/>
  <c r="N39" i="3" l="1"/>
  <c r="L39" i="3"/>
  <c r="K39" i="3"/>
  <c r="M38" i="3"/>
  <c r="M37" i="3"/>
  <c r="M36" i="3"/>
  <c r="M35" i="3"/>
  <c r="O34" i="3"/>
  <c r="AB34" i="3" s="1"/>
  <c r="M33" i="3"/>
  <c r="M32" i="3"/>
  <c r="M31" i="3"/>
  <c r="J39" i="3"/>
  <c r="M39" i="3" s="1"/>
  <c r="M29" i="3"/>
  <c r="M28" i="3"/>
  <c r="AB23" i="3"/>
  <c r="AB22" i="3"/>
  <c r="AB21" i="3"/>
  <c r="AB20" i="3"/>
  <c r="AB19" i="3"/>
  <c r="AB18" i="3"/>
  <c r="AB17" i="3"/>
  <c r="AB16" i="3"/>
  <c r="E39" i="3"/>
  <c r="H39" i="3"/>
  <c r="I38" i="3"/>
  <c r="G29" i="3"/>
  <c r="G31" i="3"/>
  <c r="G33" i="3"/>
  <c r="G34" i="3"/>
  <c r="G35" i="3"/>
  <c r="G36" i="3"/>
  <c r="I28" i="3"/>
  <c r="G30" i="3"/>
  <c r="I15" i="3"/>
  <c r="G16" i="3"/>
  <c r="G17" i="3"/>
  <c r="I18" i="3"/>
  <c r="G19" i="3"/>
  <c r="F37" i="3" s="1"/>
  <c r="G37" i="3" s="1"/>
  <c r="I20" i="3"/>
  <c r="G21" i="3"/>
  <c r="G22" i="3"/>
  <c r="G23" i="3"/>
  <c r="F39" i="3" l="1"/>
  <c r="G32" i="3"/>
  <c r="I21" i="3"/>
  <c r="I17" i="3"/>
  <c r="I34" i="3"/>
  <c r="I29" i="3"/>
  <c r="O38" i="3"/>
  <c r="AB38" i="3" s="1"/>
  <c r="I16" i="3"/>
  <c r="I37" i="3"/>
  <c r="I33" i="3"/>
  <c r="O35" i="3"/>
  <c r="AB35" i="3" s="1"/>
  <c r="I23" i="3"/>
  <c r="I19" i="3"/>
  <c r="I36" i="3"/>
  <c r="I32" i="3"/>
  <c r="O28" i="3"/>
  <c r="AB28" i="3" s="1"/>
  <c r="O32" i="3"/>
  <c r="AB32" i="3" s="1"/>
  <c r="I22" i="3"/>
  <c r="I30" i="3"/>
  <c r="I35" i="3"/>
  <c r="I31" i="3"/>
  <c r="O29" i="3"/>
  <c r="AB29" i="3" s="1"/>
  <c r="O33" i="3"/>
  <c r="AB33" i="3" s="1"/>
  <c r="O37" i="3"/>
  <c r="AB37" i="3" s="1"/>
  <c r="O31" i="3"/>
  <c r="AB31" i="3" s="1"/>
  <c r="AB15" i="3"/>
  <c r="O24" i="3"/>
  <c r="AB24" i="3" s="1"/>
  <c r="K40" i="3"/>
  <c r="E40" i="3"/>
  <c r="N40" i="3"/>
  <c r="J40" i="3"/>
  <c r="M30" i="3"/>
  <c r="O36" i="3"/>
  <c r="AB36" i="3" s="1"/>
  <c r="L40" i="3"/>
  <c r="H40" i="3"/>
  <c r="D39" i="3"/>
  <c r="F40" i="3"/>
  <c r="I39" i="3" l="1"/>
  <c r="I24" i="3"/>
  <c r="O30" i="3"/>
  <c r="AB30" i="3" s="1"/>
  <c r="D40" i="3"/>
  <c r="G39" i="3"/>
  <c r="G40" i="3" s="1"/>
  <c r="M40" i="3"/>
  <c r="O39" i="3" l="1"/>
  <c r="AB39" i="3" s="1"/>
  <c r="I40" i="3"/>
  <c r="I41" i="3" s="1"/>
  <c r="O40" i="3" l="1"/>
  <c r="AB40" i="3" s="1"/>
  <c r="O41" i="3" l="1"/>
  <c r="AB41" i="3" s="1"/>
</calcChain>
</file>

<file path=xl/comments1.xml><?xml version="1.0" encoding="utf-8"?>
<comments xmlns="http://schemas.openxmlformats.org/spreadsheetml/2006/main">
  <authors>
    <author>ekonom</author>
    <author>Ekonom</author>
  </authors>
  <commentList>
    <comment ref="W6" authorId="0" shapeId="0">
      <text>
        <r>
          <rPr>
            <b/>
            <sz val="9"/>
            <color indexed="81"/>
            <rFont val="Tahoma"/>
            <family val="2"/>
            <charset val="238"/>
          </rPr>
          <t>ekonom:</t>
        </r>
        <r>
          <rPr>
            <sz val="9"/>
            <color indexed="81"/>
            <rFont val="Tahoma"/>
            <family val="2"/>
            <charset val="238"/>
          </rPr>
          <t xml:space="preserve">
stánky, hotel, dřevák 746 tis. Kč +50tis. Zboží+ 150tis. Lodky atd
</t>
        </r>
      </text>
    </comment>
    <comment ref="X11" authorId="0" shapeId="0">
      <text>
        <r>
          <rPr>
            <b/>
            <sz val="9"/>
            <color indexed="81"/>
            <rFont val="Tahoma"/>
            <family val="2"/>
            <charset val="238"/>
          </rPr>
          <t>ekonom:</t>
        </r>
        <r>
          <rPr>
            <sz val="9"/>
            <color indexed="81"/>
            <rFont val="Tahoma"/>
            <family val="2"/>
            <charset val="238"/>
          </rPr>
          <t xml:space="preserve">
přefakturace energie
</t>
        </r>
      </text>
    </comment>
    <comment ref="X13" authorId="0" shapeId="0">
      <text>
        <r>
          <rPr>
            <b/>
            <sz val="9"/>
            <color indexed="81"/>
            <rFont val="Tahoma"/>
            <family val="2"/>
            <charset val="238"/>
          </rPr>
          <t>ekonom:</t>
        </r>
        <r>
          <rPr>
            <sz val="9"/>
            <color indexed="81"/>
            <rFont val="Tahoma"/>
            <family val="2"/>
            <charset val="238"/>
          </rPr>
          <t xml:space="preserve">
oprava chatek, kabinek + další opravy
</t>
        </r>
      </text>
    </comment>
    <comment ref="X15" authorId="0" shapeId="0">
      <text>
        <r>
          <rPr>
            <b/>
            <sz val="9"/>
            <color indexed="81"/>
            <rFont val="Tahoma"/>
            <family val="2"/>
            <charset val="238"/>
          </rPr>
          <t>ekonom:</t>
        </r>
        <r>
          <rPr>
            <sz val="9"/>
            <color indexed="81"/>
            <rFont val="Tahoma"/>
            <family val="2"/>
            <charset val="238"/>
          </rPr>
          <t xml:space="preserve">
dle 2019 + dřevák</t>
        </r>
      </text>
    </comment>
    <comment ref="X20" authorId="0" shapeId="0">
      <text>
        <r>
          <rPr>
            <b/>
            <sz val="9"/>
            <color indexed="81"/>
            <rFont val="Tahoma"/>
            <family val="2"/>
            <charset val="238"/>
          </rPr>
          <t>ekonom:</t>
        </r>
        <r>
          <rPr>
            <sz val="9"/>
            <color indexed="81"/>
            <rFont val="Tahoma"/>
            <family val="2"/>
            <charset val="238"/>
          </rPr>
          <t xml:space="preserve">
předáno molo,Dřevák </t>
        </r>
      </text>
    </comment>
    <comment ref="W21" authorId="0" shapeId="0">
      <text>
        <r>
          <rPr>
            <b/>
            <sz val="9"/>
            <color indexed="81"/>
            <rFont val="Tahoma"/>
            <family val="2"/>
            <charset val="238"/>
          </rPr>
          <t>ekonom:</t>
        </r>
        <r>
          <rPr>
            <sz val="9"/>
            <color indexed="81"/>
            <rFont val="Tahoma"/>
            <family val="2"/>
            <charset val="238"/>
          </rPr>
          <t xml:space="preserve">
zboží</t>
        </r>
      </text>
    </comment>
    <comment ref="W30" authorId="0" shapeId="0">
      <text>
        <r>
          <rPr>
            <b/>
            <sz val="9"/>
            <color indexed="81"/>
            <rFont val="Tahoma"/>
            <family val="2"/>
            <charset val="238"/>
          </rPr>
          <t>ekonom:</t>
        </r>
        <r>
          <rPr>
            <sz val="9"/>
            <color indexed="81"/>
            <rFont val="Tahoma"/>
            <family val="2"/>
            <charset val="238"/>
          </rPr>
          <t xml:space="preserve">
ustájení,svatby, safari a mšinka,  zmrzlina, hračky
krmivo.</t>
        </r>
      </text>
    </comment>
    <comment ref="W38" authorId="0" shapeId="0">
      <text>
        <r>
          <rPr>
            <b/>
            <sz val="9"/>
            <color indexed="81"/>
            <rFont val="Tahoma"/>
            <family val="2"/>
            <charset val="238"/>
          </rPr>
          <t>ekonom:</t>
        </r>
        <r>
          <rPr>
            <sz val="9"/>
            <color indexed="81"/>
            <rFont val="Tahoma"/>
            <family val="2"/>
            <charset val="238"/>
          </rPr>
          <t xml:space="preserve">
zmrzlina 250tis, stelivo+krmivo konírna 500 tis. A ost. 100tis.</t>
        </r>
      </text>
    </comment>
    <comment ref="W41" authorId="0" shapeId="0">
      <text>
        <r>
          <rPr>
            <b/>
            <sz val="9"/>
            <color indexed="81"/>
            <rFont val="Tahoma"/>
            <family val="2"/>
            <charset val="238"/>
          </rPr>
          <t>ekonom:</t>
        </r>
        <r>
          <rPr>
            <sz val="9"/>
            <color indexed="81"/>
            <rFont val="Tahoma"/>
            <family val="2"/>
            <charset val="238"/>
          </rPr>
          <t xml:space="preserve">
zooshop, DPP hračky + zmrzlina+ konírna ustájení</t>
        </r>
      </text>
    </comment>
    <comment ref="W45" authorId="0" shapeId="0">
      <text>
        <r>
          <rPr>
            <b/>
            <sz val="9"/>
            <color indexed="81"/>
            <rFont val="Tahoma"/>
            <family val="2"/>
            <charset val="238"/>
          </rPr>
          <t>ekonom:</t>
        </r>
        <r>
          <rPr>
            <sz val="9"/>
            <color indexed="81"/>
            <rFont val="Tahoma"/>
            <family val="2"/>
            <charset val="238"/>
          </rPr>
          <t xml:space="preserve">
1,8 mil zboží + 30.000 (527) + majetek 50.000, </t>
        </r>
      </text>
    </comment>
    <comment ref="C93" authorId="1" shapeId="0">
      <text>
        <r>
          <rPr>
            <b/>
            <sz val="9"/>
            <color indexed="81"/>
            <rFont val="Tahoma"/>
            <family val="2"/>
            <charset val="238"/>
          </rPr>
          <t>Ekonom:</t>
        </r>
        <r>
          <rPr>
            <sz val="9"/>
            <color indexed="81"/>
            <rFont val="Tahoma"/>
            <family val="2"/>
            <charset val="238"/>
          </rPr>
          <t xml:space="preserve">
504+527
</t>
        </r>
      </text>
    </comment>
  </commentList>
</comments>
</file>

<file path=xl/sharedStrings.xml><?xml version="1.0" encoding="utf-8"?>
<sst xmlns="http://schemas.openxmlformats.org/spreadsheetml/2006/main" count="444" uniqueCount="158">
  <si>
    <t>1.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</si>
  <si>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</si>
  <si>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</si>
  <si>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</si>
  <si>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</si>
  <si>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</si>
  <si>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</si>
  <si>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</si>
  <si>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</si>
  <si>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</si>
  <si>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</si>
  <si>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</si>
  <si>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</si>
  <si>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</si>
  <si>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</si>
  <si>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</si>
  <si>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</si>
  <si>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</si>
  <si>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</si>
  <si>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</si>
  <si>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</si>
  <si>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</si>
  <si>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</si>
  <si>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</si>
  <si>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</si>
  <si>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</si>
  <si>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</si>
  <si>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</si>
  <si>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</si>
  <si>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</si>
  <si>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</si>
  <si>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</si>
  <si>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</si>
  <si>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</si>
  <si>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20.</t>
  </si>
  <si>
    <t>21.</t>
  </si>
  <si>
    <t>ostatní</t>
  </si>
  <si>
    <t xml:space="preserve">Poř.č. řádku </t>
  </si>
  <si>
    <t>Ukazatel</t>
  </si>
  <si>
    <t>Hlavní činnost</t>
  </si>
  <si>
    <t>Doplňková činnost</t>
  </si>
  <si>
    <t>Celkem</t>
  </si>
  <si>
    <t>v tom:  mzdy zaměstnanců</t>
  </si>
  <si>
    <t>Název organizace:</t>
  </si>
  <si>
    <t>IČO:</t>
  </si>
  <si>
    <t>Sídlo:</t>
  </si>
  <si>
    <t>Zúčtování 403 do výnosů</t>
  </si>
  <si>
    <t>Zapojení fondů do výnosů</t>
  </si>
  <si>
    <t>23.</t>
  </si>
  <si>
    <t>25.</t>
  </si>
  <si>
    <t>26.</t>
  </si>
  <si>
    <t>Výsledek hospodaření</t>
  </si>
  <si>
    <t>Tržby  601-609</t>
  </si>
  <si>
    <t>Provozní dotace z jiných zdrojů (mimo SMCH)</t>
  </si>
  <si>
    <t>z příspěvku zřizovatele</t>
  </si>
  <si>
    <t>ostatních transferů</t>
  </si>
  <si>
    <t>z vlastních výnosů</t>
  </si>
  <si>
    <t>Výnosy</t>
  </si>
  <si>
    <t>zřizovatel</t>
  </si>
  <si>
    <t>vlastní činnost</t>
  </si>
  <si>
    <t>Provozní příspěvek zřizovatele</t>
  </si>
  <si>
    <t>Organizace celkem</t>
  </si>
  <si>
    <t>VÝNOSY</t>
  </si>
  <si>
    <t>Výnosy Hl.Č. celkem</t>
  </si>
  <si>
    <t>Náklady Hl.Č celkem</t>
  </si>
  <si>
    <t>Čistý zisk/ztráta (bez provozního příspěvku zřizovatele)</t>
  </si>
  <si>
    <t>Výnosy DČ</t>
  </si>
  <si>
    <t>Náklady DČ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</si>
  <si>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</si>
  <si>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</si>
  <si>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Stavy fondů</t>
  </si>
  <si>
    <t>Rezervní fond</t>
  </si>
  <si>
    <t>Fond investic</t>
  </si>
  <si>
    <t>Stav k 1.1.</t>
  </si>
  <si>
    <t>Příděl v roce</t>
  </si>
  <si>
    <t>Průměrný přepočtený stav zaměstnanců k:</t>
  </si>
  <si>
    <t>1.1.</t>
  </si>
  <si>
    <t xml:space="preserve">Sestavil: </t>
  </si>
  <si>
    <t xml:space="preserve">Schválil: </t>
  </si>
  <si>
    <t>Účelový příspěvek zřizovatele (s vyúčtováním) - granty OŠ, OE</t>
  </si>
  <si>
    <t>Podpis:</t>
  </si>
  <si>
    <t>Dne:</t>
  </si>
  <si>
    <t>Stavy peněžitých fondů</t>
  </si>
  <si>
    <t>Odvod do rozpočtu zřizovatele</t>
  </si>
  <si>
    <t>z provozu</t>
  </si>
  <si>
    <t>Ostatní investiční transfery</t>
  </si>
  <si>
    <t>Investiční příspěvek/dotace</t>
  </si>
  <si>
    <t>Investiční příspěvek zřizovatel</t>
  </si>
  <si>
    <t>Fond odměn</t>
  </si>
  <si>
    <t>FKSP</t>
  </si>
  <si>
    <t>ostatní transfery</t>
  </si>
  <si>
    <t>Čerpání v roce</t>
  </si>
  <si>
    <t>Komentář k návrhu rozpočtu:</t>
  </si>
  <si>
    <t>Zůstatek k 31.12.</t>
  </si>
  <si>
    <t>Plán k 31.12.</t>
  </si>
  <si>
    <t>Plán k 1.1.</t>
  </si>
  <si>
    <t>31.12.</t>
  </si>
  <si>
    <t>Plán 31.12.</t>
  </si>
  <si>
    <t>Skutečnost k 30.6.</t>
  </si>
  <si>
    <t>Návrh rozpočtu 2021</t>
  </si>
  <si>
    <t>Skutečnost k 31.12.2019</t>
  </si>
  <si>
    <t>Schválený rozpočet (plán NaV 2020)</t>
  </si>
  <si>
    <t>Skutečnost k 30.6.2020</t>
  </si>
  <si>
    <t>Plán 2021(návrh rozpočtu organizace)</t>
  </si>
  <si>
    <t>Porovnání s rokem 2020</t>
  </si>
  <si>
    <t>navýšení:</t>
  </si>
  <si>
    <t>odpisy: o 3.550 tis. Kč (KJ o 2.150 tis Kč, Zoo o 1.400 tis. Kč) došlo k předání majetku (Dřevák, molo atd) + nové investice 2020</t>
  </si>
  <si>
    <t>materiál: o 660 tis. Kč (dle skutečnosti 2019)</t>
  </si>
  <si>
    <t>mzdy + PSZ: o 1.460 + 685 tis. Kč - v rozpočtu 2020 bylo mírné nevýšení mezd a nebylo dle nové platové tabulky</t>
  </si>
  <si>
    <t>energie: navýšení energií KJ - zprovoznění Dřeváku, který nebyl v rozpočtu 2020 - energie se přefakturovávají (zvýšené ost. Výnosy)</t>
  </si>
  <si>
    <t>ostatní náklady: o 1.160 tis. Kč - dle skutečnosti 2019</t>
  </si>
  <si>
    <t>Tržby: zvýšeno o 4.270 tis. Kč (KJ o 1.070 tis. Kč- navýšení vstupného a převod nájmů do HČ, Zoo-navýšené o 3.200 tis. Kč převod nájmů do HČ + navýšení vstupného</t>
  </si>
  <si>
    <t>zapojení fondů do výnosů: 1.500 tis. Kč</t>
  </si>
  <si>
    <t>zúčtování 403 do výnosů: navýšení o 400 tis. Kč - investice na dotace</t>
  </si>
  <si>
    <t>Příspěvěk Zřizovatele:</t>
  </si>
  <si>
    <t>navýšení o 4 mil. Kč - hlavním důvodem je navýšení odpisů a oprava střechy hotel KJ</t>
  </si>
  <si>
    <t>ing. Monika Čakajdová</t>
  </si>
  <si>
    <t>Bc. Věra Fryčová</t>
  </si>
  <si>
    <t>skutečnost 2018</t>
  </si>
  <si>
    <t>R 2018 v tis. Kč</t>
  </si>
  <si>
    <t>skutečnost 2019</t>
  </si>
  <si>
    <t>R 2019 v tis. Kč</t>
  </si>
  <si>
    <t>R 2020</t>
  </si>
  <si>
    <t>R 2021</t>
  </si>
  <si>
    <t>Kamencové Jezero</t>
  </si>
  <si>
    <t>DČ</t>
  </si>
  <si>
    <t>HČ</t>
  </si>
  <si>
    <t>Název účtu/středisko</t>
  </si>
  <si>
    <t>KJ</t>
  </si>
  <si>
    <t>KJ DČ</t>
  </si>
  <si>
    <t>VÝNOSY CELKEM</t>
  </si>
  <si>
    <t>převod půjčování sport. Akt. + nájem do HL.činnosti</t>
  </si>
  <si>
    <t>Příspěvek zřizovatele - pouze účelový (s vyúčtováním)</t>
  </si>
  <si>
    <t>Provozní dotace z jiných zdrojů (jiní poskytovatelé než SMCH)</t>
  </si>
  <si>
    <t>NÁKLADY CELKEM</t>
  </si>
  <si>
    <t>režijní náklady</t>
  </si>
  <si>
    <t>HV bez příspěvku zřizovatele</t>
  </si>
  <si>
    <t>Příspěvek zřizovatele</t>
  </si>
  <si>
    <t>VÝSLEDEK HOSPODAŘENÍ</t>
  </si>
  <si>
    <t>ZOOPARK</t>
  </si>
  <si>
    <t>ZOO</t>
  </si>
  <si>
    <t>převod nájmu do HČ</t>
  </si>
  <si>
    <t>PSÍ ÚTULEK</t>
  </si>
  <si>
    <t>útulek</t>
  </si>
  <si>
    <t>společné náklady</t>
  </si>
  <si>
    <t>CELÁ ORGANIZACE</t>
  </si>
  <si>
    <t>VH bez dotace</t>
  </si>
  <si>
    <t>převod fondu oprav na PO</t>
  </si>
  <si>
    <t>převod majetku - zvýšení odpisů</t>
  </si>
  <si>
    <t>Zoopark Chomutov, p.o.</t>
  </si>
  <si>
    <t>Přemyslova 259, 430 01 Chomutov</t>
  </si>
  <si>
    <t>opravy: o 1.480 tis Kč - důvodem je oprava střechy Golfhotel na KJ ve výši 1.500 tis Kč</t>
  </si>
  <si>
    <t>Náklady HČ:</t>
  </si>
  <si>
    <t>Výnosy HČ:</t>
  </si>
  <si>
    <t>Vedlejší činnost:</t>
  </si>
  <si>
    <t>snížení výnosů na KJ - převod nájmů a půjčovného lodiček atd do HČ</t>
  </si>
  <si>
    <t>Zoo - zvýšení výnosů - prodej suvenýrů pokryje převod nájmů do HČ</t>
  </si>
  <si>
    <t>mzdy R20/19 celk.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</si>
</sst>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 ;[Red]\-#,##0.0\ 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6"/>
      <color rgb="FF000000"/>
      <name val="Arial"/>
      <family val="2"/>
      <charset val="238"/>
    </font>
    <font>
      <sz val="1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70C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E2EFDA"/>
        <bgColor rgb="FFE2EFDA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9" fillId="0" borderId="0"/>
    <xf numFmtId="0" fontId="10" fillId="0" borderId="0"/>
    <xf numFmtId="0" fontId="29" fillId="0" borderId="0" applyNumberFormat="0" applyBorder="0" applyProtection="0"/>
  </cellStyleXfs>
  <cellXfs count="425">
    <xf numFmtId="0" fontId="0" fillId="0" borderId="0" xfId="0"/>
    <xf numFmtId="10" fontId="0" fillId="0" borderId="0" xfId="0" applyNumberFormat="1" applyFont="1"/>
    <xf numFmtId="0" fontId="11" fillId="0" borderId="0" xfId="2" applyFont="1" applyBorder="1" applyProtection="1"/>
    <xf numFmtId="0" fontId="0" fillId="0" borderId="0" xfId="0" applyFill="1"/>
    <xf numFmtId="0" fontId="0" fillId="8" borderId="0" xfId="0" applyFill="1"/>
    <xf numFmtId="0" fontId="0" fillId="8" borderId="0" xfId="0" applyFill="1" applyProtection="1"/>
    <xf numFmtId="10" fontId="0" fillId="8" borderId="0" xfId="0" applyNumberFormat="1" applyFont="1" applyFill="1" applyProtection="1"/>
    <xf numFmtId="0" fontId="3" fillId="8" borderId="0" xfId="0" applyFont="1" applyFill="1" applyProtection="1"/>
    <xf numFmtId="0" fontId="1" fillId="4" borderId="30" xfId="0" applyFont="1" applyFill="1" applyBorder="1" applyAlignment="1" applyProtection="1">
      <alignment horizontal="center" vertical="center" wrapText="1"/>
    </xf>
    <xf numFmtId="0" fontId="1" fillId="14" borderId="34" xfId="0" applyFont="1" applyFill="1" applyBorder="1" applyAlignment="1" applyProtection="1">
      <alignment horizontal="center" vertical="center" wrapText="1"/>
    </xf>
    <xf numFmtId="0" fontId="1" fillId="14" borderId="19" xfId="0" applyFont="1" applyFill="1" applyBorder="1" applyAlignment="1" applyProtection="1">
      <alignment horizontal="center" vertical="center"/>
    </xf>
    <xf numFmtId="164" fontId="0" fillId="11" borderId="51" xfId="0" applyNumberFormat="1" applyFont="1" applyFill="1" applyBorder="1" applyAlignment="1" applyProtection="1">
      <alignment horizontal="right"/>
    </xf>
    <xf numFmtId="164" fontId="0" fillId="11" borderId="9" xfId="0" applyNumberFormat="1" applyFont="1" applyFill="1" applyBorder="1" applyAlignment="1" applyProtection="1">
      <alignment horizontal="right"/>
    </xf>
    <xf numFmtId="164" fontId="0" fillId="0" borderId="23" xfId="0" applyNumberFormat="1" applyFont="1" applyFill="1" applyBorder="1" applyAlignment="1" applyProtection="1">
      <alignment horizontal="right"/>
    </xf>
    <xf numFmtId="0" fontId="0" fillId="0" borderId="49" xfId="0" applyFill="1" applyBorder="1" applyAlignment="1" applyProtection="1">
      <alignment horizontal="center"/>
    </xf>
    <xf numFmtId="164" fontId="0" fillId="11" borderId="1" xfId="0" applyNumberFormat="1" applyFont="1" applyFill="1" applyBorder="1" applyAlignment="1" applyProtection="1">
      <alignment horizontal="right"/>
    </xf>
    <xf numFmtId="164" fontId="6" fillId="11" borderId="1" xfId="0" applyNumberFormat="1" applyFont="1" applyFill="1" applyBorder="1" applyAlignment="1" applyProtection="1">
      <alignment horizontal="right"/>
    </xf>
    <xf numFmtId="164" fontId="0" fillId="11" borderId="49" xfId="0" applyNumberFormat="1" applyFont="1" applyFill="1" applyBorder="1" applyAlignment="1" applyProtection="1">
      <alignment horizontal="right"/>
    </xf>
    <xf numFmtId="164" fontId="6" fillId="11" borderId="49" xfId="0" applyNumberFormat="1" applyFont="1" applyFill="1" applyBorder="1" applyAlignment="1" applyProtection="1">
      <alignment horizontal="right"/>
    </xf>
    <xf numFmtId="0" fontId="0" fillId="0" borderId="11" xfId="0" applyFill="1" applyBorder="1" applyAlignment="1" applyProtection="1">
      <alignment horizontal="center"/>
    </xf>
    <xf numFmtId="164" fontId="0" fillId="11" borderId="11" xfId="0" applyNumberFormat="1" applyFont="1" applyFill="1" applyBorder="1" applyAlignment="1" applyProtection="1">
      <alignment horizontal="right"/>
    </xf>
    <xf numFmtId="164" fontId="0" fillId="11" borderId="44" xfId="0" applyNumberFormat="1" applyFont="1" applyFill="1" applyBorder="1" applyAlignment="1" applyProtection="1">
      <alignment horizontal="right"/>
    </xf>
    <xf numFmtId="164" fontId="0" fillId="0" borderId="14" xfId="0" applyNumberFormat="1" applyFont="1" applyFill="1" applyBorder="1" applyAlignment="1" applyProtection="1">
      <alignment horizontal="right"/>
    </xf>
    <xf numFmtId="0" fontId="1" fillId="0" borderId="3" xfId="0" applyFont="1" applyFill="1" applyBorder="1" applyAlignment="1" applyProtection="1">
      <alignment horizontal="center"/>
    </xf>
    <xf numFmtId="0" fontId="1" fillId="3" borderId="59" xfId="0" applyFont="1" applyFill="1" applyBorder="1" applyProtection="1"/>
    <xf numFmtId="164" fontId="1" fillId="3" borderId="25" xfId="0" applyNumberFormat="1" applyFont="1" applyFill="1" applyBorder="1" applyAlignment="1" applyProtection="1">
      <alignment horizontal="right"/>
    </xf>
    <xf numFmtId="164" fontId="1" fillId="3" borderId="26" xfId="0" applyNumberFormat="1" applyFont="1" applyFill="1" applyBorder="1" applyAlignment="1" applyProtection="1">
      <alignment horizontal="right"/>
    </xf>
    <xf numFmtId="164" fontId="1" fillId="3" borderId="29" xfId="0" applyNumberFormat="1" applyFont="1" applyFill="1" applyBorder="1" applyAlignment="1" applyProtection="1">
      <alignment horizontal="right"/>
    </xf>
    <xf numFmtId="164" fontId="1" fillId="3" borderId="30" xfId="0" applyNumberFormat="1" applyFont="1" applyFill="1" applyBorder="1" applyAlignment="1" applyProtection="1">
      <alignment horizontal="right"/>
    </xf>
    <xf numFmtId="0" fontId="0" fillId="14" borderId="58" xfId="0" applyFill="1" applyBorder="1" applyAlignment="1" applyProtection="1">
      <alignment horizontal="center"/>
    </xf>
    <xf numFmtId="0" fontId="1" fillId="14" borderId="59" xfId="0" applyFont="1" applyFill="1" applyBorder="1" applyProtection="1"/>
    <xf numFmtId="0" fontId="12" fillId="0" borderId="34" xfId="0" applyFont="1" applyBorder="1" applyAlignment="1" applyProtection="1">
      <alignment horizontal="center"/>
    </xf>
    <xf numFmtId="0" fontId="12" fillId="0" borderId="18" xfId="0" applyFont="1" applyBorder="1" applyAlignment="1" applyProtection="1">
      <alignment horizontal="center"/>
    </xf>
    <xf numFmtId="0" fontId="12" fillId="0" borderId="35" xfId="0" applyFont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5" xfId="0" applyBorder="1" applyProtection="1"/>
    <xf numFmtId="164" fontId="0" fillId="0" borderId="13" xfId="0" applyNumberFormat="1" applyFont="1" applyFill="1" applyBorder="1" applyAlignment="1" applyProtection="1">
      <alignment horizontal="right"/>
    </xf>
    <xf numFmtId="0" fontId="0" fillId="0" borderId="50" xfId="0" applyFill="1" applyBorder="1" applyProtection="1"/>
    <xf numFmtId="0" fontId="0" fillId="0" borderId="50" xfId="0" applyBorder="1" applyProtection="1"/>
    <xf numFmtId="0" fontId="7" fillId="0" borderId="50" xfId="0" applyFont="1" applyBorder="1" applyProtection="1"/>
    <xf numFmtId="0" fontId="7" fillId="0" borderId="50" xfId="0" applyFont="1" applyBorder="1" applyAlignment="1" applyProtection="1">
      <alignment horizontal="left" indent="5"/>
    </xf>
    <xf numFmtId="164" fontId="1" fillId="5" borderId="34" xfId="0" applyNumberFormat="1" applyFont="1" applyFill="1" applyBorder="1" applyProtection="1"/>
    <xf numFmtId="164" fontId="1" fillId="5" borderId="56" xfId="0" applyNumberFormat="1" applyFont="1" applyFill="1" applyBorder="1" applyProtection="1"/>
    <xf numFmtId="164" fontId="1" fillId="5" borderId="3" xfId="0" applyNumberFormat="1" applyFont="1" applyFill="1" applyBorder="1" applyProtection="1"/>
    <xf numFmtId="164" fontId="1" fillId="14" borderId="18" xfId="0" applyNumberFormat="1" applyFont="1" applyFill="1" applyBorder="1" applyProtection="1"/>
    <xf numFmtId="164" fontId="1" fillId="14" borderId="19" xfId="0" applyNumberFormat="1" applyFont="1" applyFill="1" applyBorder="1" applyProtection="1"/>
    <xf numFmtId="0" fontId="1" fillId="8" borderId="0" xfId="0" applyFont="1" applyFill="1" applyBorder="1" applyAlignment="1" applyProtection="1">
      <alignment horizontal="center"/>
    </xf>
    <xf numFmtId="0" fontId="1" fillId="8" borderId="0" xfId="0" applyFont="1" applyFill="1" applyBorder="1" applyProtection="1"/>
    <xf numFmtId="164" fontId="1" fillId="8" borderId="0" xfId="0" applyNumberFormat="1" applyFont="1" applyFill="1" applyBorder="1" applyProtection="1"/>
    <xf numFmtId="164" fontId="5" fillId="8" borderId="0" xfId="0" applyNumberFormat="1" applyFont="1" applyFill="1" applyBorder="1" applyAlignment="1" applyProtection="1">
      <alignment horizontal="right"/>
    </xf>
    <xf numFmtId="0" fontId="1" fillId="0" borderId="1" xfId="0" applyFont="1" applyFill="1" applyBorder="1" applyProtection="1"/>
    <xf numFmtId="164" fontId="1" fillId="0" borderId="1" xfId="0" applyNumberFormat="1" applyFont="1" applyFill="1" applyBorder="1" applyProtection="1"/>
    <xf numFmtId="0" fontId="1" fillId="8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0" fillId="0" borderId="9" xfId="0" applyNumberFormat="1" applyFont="1" applyFill="1" applyBorder="1" applyAlignment="1" applyProtection="1">
      <alignment horizontal="right"/>
      <protection locked="0"/>
    </xf>
    <xf numFmtId="164" fontId="0" fillId="10" borderId="49" xfId="0" applyNumberFormat="1" applyFont="1" applyFill="1" applyBorder="1" applyAlignment="1" applyProtection="1">
      <alignment horizontal="right"/>
      <protection locked="0"/>
    </xf>
    <xf numFmtId="164" fontId="6" fillId="5" borderId="49" xfId="0" applyNumberFormat="1" applyFont="1" applyFill="1" applyBorder="1" applyAlignment="1" applyProtection="1">
      <alignment horizontal="right"/>
      <protection locked="0"/>
    </xf>
    <xf numFmtId="164" fontId="6" fillId="0" borderId="1" xfId="0" applyNumberFormat="1" applyFont="1" applyFill="1" applyBorder="1" applyAlignment="1" applyProtection="1">
      <alignment horizontal="right"/>
      <protection locked="0"/>
    </xf>
    <xf numFmtId="164" fontId="6" fillId="0" borderId="1" xfId="0" applyNumberFormat="1" applyFont="1" applyBorder="1" applyAlignment="1" applyProtection="1">
      <alignment horizontal="right"/>
      <protection locked="0"/>
    </xf>
    <xf numFmtId="164" fontId="0" fillId="0" borderId="1" xfId="0" applyNumberFormat="1" applyFont="1" applyBorder="1" applyAlignment="1" applyProtection="1">
      <alignment horizontal="right"/>
      <protection locked="0"/>
    </xf>
    <xf numFmtId="164" fontId="0" fillId="0" borderId="44" xfId="0" applyNumberFormat="1" applyFont="1" applyBorder="1" applyAlignment="1" applyProtection="1">
      <alignment horizontal="right"/>
      <protection locked="0"/>
    </xf>
    <xf numFmtId="164" fontId="0" fillId="0" borderId="8" xfId="0" applyNumberFormat="1" applyFont="1" applyFill="1" applyBorder="1" applyAlignment="1" applyProtection="1">
      <alignment horizontal="right"/>
      <protection locked="0"/>
    </xf>
    <xf numFmtId="164" fontId="0" fillId="0" borderId="43" xfId="0" applyNumberFormat="1" applyFont="1" applyFill="1" applyBorder="1" applyAlignment="1" applyProtection="1">
      <alignment horizontal="right"/>
      <protection locked="0"/>
    </xf>
    <xf numFmtId="164" fontId="0" fillId="0" borderId="12" xfId="0" applyNumberFormat="1" applyFont="1" applyFill="1" applyBorder="1" applyAlignment="1" applyProtection="1">
      <alignment horizontal="right"/>
      <protection locked="0"/>
    </xf>
    <xf numFmtId="164" fontId="0" fillId="0" borderId="23" xfId="0" applyNumberFormat="1" applyFont="1" applyFill="1" applyBorder="1" applyAlignment="1" applyProtection="1">
      <alignment horizontal="right"/>
      <protection locked="0"/>
    </xf>
    <xf numFmtId="164" fontId="0" fillId="2" borderId="23" xfId="0" applyNumberFormat="1" applyFont="1" applyFill="1" applyBorder="1" applyAlignment="1" applyProtection="1">
      <alignment horizontal="right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164" fontId="0" fillId="0" borderId="23" xfId="0" applyNumberFormat="1" applyFont="1" applyBorder="1" applyAlignment="1" applyProtection="1">
      <alignment horizontal="right"/>
      <protection locked="0"/>
    </xf>
    <xf numFmtId="164" fontId="0" fillId="0" borderId="15" xfId="0" applyNumberFormat="1" applyFont="1" applyBorder="1" applyAlignment="1" applyProtection="1">
      <alignment horizontal="right"/>
      <protection locked="0"/>
    </xf>
    <xf numFmtId="164" fontId="0" fillId="0" borderId="16" xfId="0" applyNumberFormat="1" applyFont="1" applyBorder="1" applyAlignment="1" applyProtection="1">
      <alignment horizontal="right"/>
      <protection locked="0"/>
    </xf>
    <xf numFmtId="164" fontId="0" fillId="0" borderId="7" xfId="0" applyNumberFormat="1" applyFont="1" applyBorder="1" applyProtection="1">
      <protection locked="0"/>
    </xf>
    <xf numFmtId="164" fontId="0" fillId="0" borderId="55" xfId="0" applyNumberFormat="1" applyFont="1" applyBorder="1" applyProtection="1">
      <protection locked="0"/>
    </xf>
    <xf numFmtId="164" fontId="0" fillId="0" borderId="2" xfId="0" applyNumberFormat="1" applyFont="1" applyFill="1" applyBorder="1" applyProtection="1">
      <protection locked="0"/>
    </xf>
    <xf numFmtId="164" fontId="0" fillId="0" borderId="54" xfId="0" applyNumberFormat="1" applyFont="1" applyBorder="1" applyProtection="1">
      <protection locked="0"/>
    </xf>
    <xf numFmtId="164" fontId="0" fillId="0" borderId="54" xfId="0" applyNumberFormat="1" applyFont="1" applyFill="1" applyBorder="1" applyProtection="1">
      <protection locked="0"/>
    </xf>
    <xf numFmtId="164" fontId="0" fillId="0" borderId="2" xfId="0" applyNumberFormat="1" applyFont="1" applyBorder="1" applyProtection="1">
      <protection locked="0"/>
    </xf>
    <xf numFmtId="164" fontId="0" fillId="0" borderId="40" xfId="0" applyNumberFormat="1" applyFont="1" applyBorder="1" applyProtection="1">
      <protection locked="0"/>
    </xf>
    <xf numFmtId="164" fontId="0" fillId="0" borderId="57" xfId="0" applyNumberFormat="1" applyFont="1" applyBorder="1" applyProtection="1">
      <protection locked="0"/>
    </xf>
    <xf numFmtId="164" fontId="0" fillId="0" borderId="4" xfId="0" applyNumberFormat="1" applyFont="1" applyBorder="1" applyProtection="1">
      <protection locked="0"/>
    </xf>
    <xf numFmtId="164" fontId="0" fillId="0" borderId="49" xfId="0" applyNumberFormat="1" applyFont="1" applyFill="1" applyBorder="1" applyProtection="1">
      <protection locked="0"/>
    </xf>
    <xf numFmtId="164" fontId="0" fillId="0" borderId="49" xfId="0" applyNumberFormat="1" applyFont="1" applyBorder="1" applyProtection="1">
      <protection locked="0"/>
    </xf>
    <xf numFmtId="0" fontId="0" fillId="0" borderId="49" xfId="0" applyFont="1" applyBorder="1" applyProtection="1">
      <protection locked="0"/>
    </xf>
    <xf numFmtId="164" fontId="0" fillId="0" borderId="11" xfId="0" applyNumberFormat="1" applyFont="1" applyBorder="1" applyProtection="1"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0" borderId="1" xfId="0" applyNumberFormat="1" applyFont="1" applyFill="1" applyBorder="1" applyProtection="1">
      <protection locked="0"/>
    </xf>
    <xf numFmtId="0" fontId="0" fillId="8" borderId="0" xfId="0" applyFill="1" applyBorder="1" applyProtection="1"/>
    <xf numFmtId="0" fontId="0" fillId="8" borderId="0" xfId="0" applyFont="1" applyFill="1" applyBorder="1" applyAlignment="1" applyProtection="1">
      <alignment horizontal="center"/>
    </xf>
    <xf numFmtId="164" fontId="1" fillId="8" borderId="0" xfId="0" applyNumberFormat="1" applyFont="1" applyFill="1" applyBorder="1" applyAlignment="1" applyProtection="1">
      <alignment horizontal="center"/>
    </xf>
    <xf numFmtId="0" fontId="0" fillId="8" borderId="0" xfId="0" applyFill="1" applyBorder="1"/>
    <xf numFmtId="0" fontId="0" fillId="0" borderId="0" xfId="0" applyBorder="1"/>
    <xf numFmtId="0" fontId="0" fillId="8" borderId="0" xfId="0" applyFill="1" applyBorder="1" applyAlignment="1" applyProtection="1">
      <alignment horizontal="center"/>
    </xf>
    <xf numFmtId="164" fontId="1" fillId="8" borderId="0" xfId="0" applyNumberFormat="1" applyFont="1" applyFill="1" applyBorder="1" applyProtection="1">
      <protection locked="0"/>
    </xf>
    <xf numFmtId="164" fontId="1" fillId="0" borderId="31" xfId="0" applyNumberFormat="1" applyFont="1" applyFill="1" applyBorder="1" applyProtection="1">
      <protection locked="0"/>
    </xf>
    <xf numFmtId="164" fontId="13" fillId="14" borderId="34" xfId="0" applyNumberFormat="1" applyFont="1" applyFill="1" applyBorder="1" applyAlignment="1" applyProtection="1">
      <alignment horizontal="center" wrapText="1"/>
      <protection locked="0"/>
    </xf>
    <xf numFmtId="164" fontId="13" fillId="14" borderId="19" xfId="0" applyNumberFormat="1" applyFont="1" applyFill="1" applyBorder="1" applyAlignment="1" applyProtection="1">
      <alignment horizontal="center" wrapText="1"/>
    </xf>
    <xf numFmtId="164" fontId="1" fillId="0" borderId="48" xfId="0" applyNumberFormat="1" applyFont="1" applyFill="1" applyBorder="1" applyProtection="1">
      <protection locked="0"/>
    </xf>
    <xf numFmtId="0" fontId="1" fillId="12" borderId="1" xfId="0" applyFont="1" applyFill="1" applyBorder="1" applyProtection="1"/>
    <xf numFmtId="164" fontId="1" fillId="12" borderId="1" xfId="0" applyNumberFormat="1" applyFont="1" applyFill="1" applyBorder="1" applyAlignment="1" applyProtection="1">
      <alignment horizontal="center"/>
    </xf>
    <xf numFmtId="0" fontId="1" fillId="12" borderId="39" xfId="0" applyFont="1" applyFill="1" applyBorder="1" applyAlignment="1" applyProtection="1">
      <alignment horizontal="left"/>
    </xf>
    <xf numFmtId="0" fontId="1" fillId="12" borderId="12" xfId="0" applyFont="1" applyFill="1" applyBorder="1" applyAlignment="1" applyProtection="1">
      <alignment horizontal="left"/>
    </xf>
    <xf numFmtId="0" fontId="0" fillId="0" borderId="46" xfId="0" applyBorder="1" applyProtection="1"/>
    <xf numFmtId="0" fontId="1" fillId="5" borderId="41" xfId="0" applyFont="1" applyFill="1" applyBorder="1" applyProtection="1"/>
    <xf numFmtId="164" fontId="1" fillId="0" borderId="32" xfId="0" applyNumberFormat="1" applyFont="1" applyFill="1" applyBorder="1" applyProtection="1">
      <protection locked="0"/>
    </xf>
    <xf numFmtId="164" fontId="1" fillId="0" borderId="20" xfId="0" applyNumberFormat="1" applyFont="1" applyFill="1" applyBorder="1" applyProtection="1">
      <protection locked="0"/>
    </xf>
    <xf numFmtId="164" fontId="1" fillId="14" borderId="34" xfId="0" applyNumberFormat="1" applyFont="1" applyFill="1" applyBorder="1" applyProtection="1">
      <protection locked="0"/>
    </xf>
    <xf numFmtId="0" fontId="16" fillId="0" borderId="38" xfId="0" applyFont="1" applyFill="1" applyBorder="1" applyAlignment="1" applyProtection="1">
      <alignment horizontal="center"/>
    </xf>
    <xf numFmtId="0" fontId="16" fillId="6" borderId="38" xfId="0" applyFont="1" applyFill="1" applyBorder="1" applyAlignment="1" applyProtection="1">
      <alignment horizontal="left"/>
    </xf>
    <xf numFmtId="165" fontId="16" fillId="6" borderId="38" xfId="0" applyNumberFormat="1" applyFont="1" applyFill="1" applyBorder="1" applyAlignment="1" applyProtection="1"/>
    <xf numFmtId="0" fontId="2" fillId="0" borderId="41" xfId="0" applyFont="1" applyFill="1" applyBorder="1" applyAlignment="1" applyProtection="1">
      <alignment horizontal="center"/>
    </xf>
    <xf numFmtId="0" fontId="2" fillId="0" borderId="41" xfId="0" applyFont="1" applyBorder="1" applyProtection="1"/>
    <xf numFmtId="164" fontId="5" fillId="14" borderId="34" xfId="0" applyNumberFormat="1" applyFont="1" applyFill="1" applyBorder="1" applyAlignment="1" applyProtection="1">
      <alignment horizontal="center"/>
    </xf>
    <xf numFmtId="164" fontId="5" fillId="14" borderId="18" xfId="0" applyNumberFormat="1" applyFont="1" applyFill="1" applyBorder="1" applyProtection="1"/>
    <xf numFmtId="0" fontId="2" fillId="14" borderId="18" xfId="0" applyFont="1" applyFill="1" applyBorder="1" applyProtection="1"/>
    <xf numFmtId="164" fontId="5" fillId="14" borderId="35" xfId="0" applyNumberFormat="1" applyFont="1" applyFill="1" applyBorder="1" applyProtection="1"/>
    <xf numFmtId="165" fontId="2" fillId="7" borderId="3" xfId="0" applyNumberFormat="1" applyFont="1" applyFill="1" applyBorder="1" applyProtection="1"/>
    <xf numFmtId="164" fontId="5" fillId="14" borderId="19" xfId="0" applyNumberFormat="1" applyFont="1" applyFill="1" applyBorder="1" applyProtection="1"/>
    <xf numFmtId="165" fontId="17" fillId="9" borderId="38" xfId="0" applyNumberFormat="1" applyFont="1" applyFill="1" applyBorder="1" applyAlignment="1" applyProtection="1"/>
    <xf numFmtId="165" fontId="17" fillId="9" borderId="30" xfId="0" applyNumberFormat="1" applyFont="1" applyFill="1" applyBorder="1" applyAlignment="1" applyProtection="1"/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0" fillId="0" borderId="0" xfId="0" applyFill="1" applyBorder="1"/>
    <xf numFmtId="0" fontId="0" fillId="0" borderId="36" xfId="0" applyFill="1" applyBorder="1"/>
    <xf numFmtId="0" fontId="11" fillId="0" borderId="0" xfId="0" applyFont="1" applyFill="1" applyBorder="1"/>
    <xf numFmtId="0" fontId="0" fillId="0" borderId="5" xfId="0" applyFill="1" applyBorder="1" applyProtection="1"/>
    <xf numFmtId="0" fontId="0" fillId="10" borderId="50" xfId="0" applyFill="1" applyBorder="1" applyProtection="1"/>
    <xf numFmtId="0" fontId="7" fillId="5" borderId="50" xfId="0" applyFont="1" applyFill="1" applyBorder="1" applyProtection="1"/>
    <xf numFmtId="0" fontId="7" fillId="0" borderId="50" xfId="0" applyFont="1" applyFill="1" applyBorder="1" applyAlignment="1" applyProtection="1">
      <alignment horizontal="left"/>
    </xf>
    <xf numFmtId="0" fontId="4" fillId="0" borderId="50" xfId="0" applyFont="1" applyBorder="1" applyProtection="1"/>
    <xf numFmtId="0" fontId="0" fillId="0" borderId="45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left" indent="5"/>
    </xf>
    <xf numFmtId="0" fontId="8" fillId="0" borderId="1" xfId="0" applyFont="1" applyFill="1" applyBorder="1" applyProtection="1"/>
    <xf numFmtId="0" fontId="11" fillId="0" borderId="52" xfId="0" applyFont="1" applyFill="1" applyBorder="1"/>
    <xf numFmtId="0" fontId="11" fillId="0" borderId="52" xfId="2" applyFont="1" applyBorder="1" applyProtection="1"/>
    <xf numFmtId="0" fontId="11" fillId="8" borderId="0" xfId="0" applyFont="1" applyFill="1" applyBorder="1"/>
    <xf numFmtId="0" fontId="11" fillId="8" borderId="0" xfId="2" applyFont="1" applyFill="1" applyBorder="1" applyProtection="1"/>
    <xf numFmtId="0" fontId="1" fillId="8" borderId="0" xfId="0" applyFont="1" applyFill="1" applyBorder="1" applyAlignment="1" applyProtection="1">
      <alignment horizontal="left"/>
      <protection locked="0"/>
    </xf>
    <xf numFmtId="0" fontId="11" fillId="0" borderId="0" xfId="2" applyFont="1" applyFill="1" applyBorder="1" applyProtection="1"/>
    <xf numFmtId="0" fontId="18" fillId="0" borderId="34" xfId="0" applyFont="1" applyBorder="1" applyAlignment="1" applyProtection="1">
      <alignment horizontal="center"/>
    </xf>
    <xf numFmtId="0" fontId="18" fillId="0" borderId="18" xfId="0" applyFont="1" applyBorder="1" applyAlignment="1" applyProtection="1">
      <alignment horizontal="center"/>
    </xf>
    <xf numFmtId="0" fontId="11" fillId="0" borderId="22" xfId="2" applyFont="1" applyFill="1" applyBorder="1" applyProtection="1"/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52" xfId="0" applyFont="1" applyFill="1" applyBorder="1" applyAlignment="1" applyProtection="1">
      <alignment horizontal="left"/>
      <protection locked="0"/>
    </xf>
    <xf numFmtId="164" fontId="0" fillId="5" borderId="55" xfId="0" applyNumberFormat="1" applyFont="1" applyFill="1" applyBorder="1" applyProtection="1">
      <protection locked="0"/>
    </xf>
    <xf numFmtId="10" fontId="7" fillId="0" borderId="23" xfId="0" applyNumberFormat="1" applyFont="1" applyFill="1" applyBorder="1" applyProtection="1"/>
    <xf numFmtId="164" fontId="13" fillId="8" borderId="0" xfId="0" applyNumberFormat="1" applyFont="1" applyFill="1" applyBorder="1" applyAlignment="1" applyProtection="1">
      <alignment horizontal="center" vertical="center" wrapText="1"/>
    </xf>
    <xf numFmtId="164" fontId="1" fillId="8" borderId="0" xfId="0" applyNumberFormat="1" applyFont="1" applyFill="1" applyBorder="1" applyAlignment="1" applyProtection="1">
      <alignment horizontal="right"/>
      <protection locked="0"/>
    </xf>
    <xf numFmtId="10" fontId="7" fillId="0" borderId="14" xfId="0" applyNumberFormat="1" applyFont="1" applyFill="1" applyBorder="1" applyProtection="1"/>
    <xf numFmtId="10" fontId="7" fillId="3" borderId="3" xfId="0" applyNumberFormat="1" applyFont="1" applyFill="1" applyBorder="1" applyProtection="1"/>
    <xf numFmtId="10" fontId="7" fillId="5" borderId="3" xfId="0" applyNumberFormat="1" applyFont="1" applyFill="1" applyBorder="1" applyProtection="1"/>
    <xf numFmtId="10" fontId="19" fillId="9" borderId="23" xfId="0" applyNumberFormat="1" applyFont="1" applyFill="1" applyBorder="1" applyProtection="1"/>
    <xf numFmtId="0" fontId="0" fillId="0" borderId="39" xfId="0" applyFill="1" applyBorder="1"/>
    <xf numFmtId="0" fontId="0" fillId="0" borderId="40" xfId="0" applyFill="1" applyBorder="1"/>
    <xf numFmtId="0" fontId="0" fillId="0" borderId="52" xfId="0" applyFill="1" applyBorder="1"/>
    <xf numFmtId="0" fontId="0" fillId="0" borderId="10" xfId="0" applyFill="1" applyBorder="1"/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22" xfId="0" applyFont="1" applyFill="1" applyBorder="1" applyAlignment="1" applyProtection="1">
      <alignment horizontal="left"/>
      <protection locked="0"/>
    </xf>
    <xf numFmtId="164" fontId="0" fillId="11" borderId="51" xfId="0" applyNumberFormat="1" applyFill="1" applyBorder="1" applyAlignment="1">
      <alignment horizontal="right"/>
    </xf>
    <xf numFmtId="164" fontId="0" fillId="11" borderId="9" xfId="0" applyNumberFormat="1" applyFill="1" applyBorder="1" applyAlignment="1">
      <alignment horizontal="right"/>
    </xf>
    <xf numFmtId="164" fontId="0" fillId="0" borderId="9" xfId="0" applyNumberFormat="1" applyBorder="1" applyAlignment="1" applyProtection="1">
      <alignment horizontal="right"/>
      <protection locked="0"/>
    </xf>
    <xf numFmtId="164" fontId="0" fillId="10" borderId="49" xfId="0" applyNumberFormat="1" applyFill="1" applyBorder="1" applyAlignment="1" applyProtection="1">
      <alignment horizontal="right"/>
      <protection locked="0"/>
    </xf>
    <xf numFmtId="164" fontId="0" fillId="11" borderId="1" xfId="0" applyNumberFormat="1" applyFill="1" applyBorder="1" applyAlignment="1">
      <alignment horizontal="right"/>
    </xf>
    <xf numFmtId="164" fontId="6" fillId="11" borderId="1" xfId="0" applyNumberFormat="1" applyFont="1" applyFill="1" applyBorder="1" applyAlignment="1">
      <alignment horizontal="right"/>
    </xf>
    <xf numFmtId="164" fontId="0" fillId="11" borderId="49" xfId="0" applyNumberFormat="1" applyFill="1" applyBorder="1" applyAlignment="1">
      <alignment horizontal="right"/>
    </xf>
    <xf numFmtId="164" fontId="6" fillId="11" borderId="49" xfId="0" applyNumberFormat="1" applyFont="1" applyFill="1" applyBorder="1" applyAlignment="1">
      <alignment horizontal="right"/>
    </xf>
    <xf numFmtId="164" fontId="0" fillId="0" borderId="1" xfId="0" applyNumberFormat="1" applyBorder="1" applyAlignment="1" applyProtection="1">
      <alignment horizontal="right"/>
      <protection locked="0"/>
    </xf>
    <xf numFmtId="164" fontId="0" fillId="11" borderId="11" xfId="0" applyNumberFormat="1" applyFill="1" applyBorder="1" applyAlignment="1">
      <alignment horizontal="right"/>
    </xf>
    <xf numFmtId="164" fontId="0" fillId="11" borderId="44" xfId="0" applyNumberFormat="1" applyFill="1" applyBorder="1" applyAlignment="1">
      <alignment horizontal="right"/>
    </xf>
    <xf numFmtId="164" fontId="0" fillId="0" borderId="44" xfId="0" applyNumberFormat="1" applyBorder="1" applyAlignment="1" applyProtection="1">
      <alignment horizontal="right"/>
      <protection locked="0"/>
    </xf>
    <xf numFmtId="164" fontId="0" fillId="0" borderId="23" xfId="0" applyNumberFormat="1" applyBorder="1" applyAlignment="1" applyProtection="1">
      <alignment horizontal="right"/>
      <protection locked="0"/>
    </xf>
    <xf numFmtId="3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/>
    <xf numFmtId="164" fontId="1" fillId="0" borderId="1" xfId="0" applyNumberFormat="1" applyFont="1" applyBorder="1" applyAlignment="1" applyProtection="1">
      <alignment horizontal="right"/>
      <protection locked="0"/>
    </xf>
    <xf numFmtId="4" fontId="0" fillId="0" borderId="7" xfId="0" applyNumberFormat="1" applyFont="1" applyBorder="1" applyProtection="1">
      <protection locked="0"/>
    </xf>
    <xf numFmtId="4" fontId="0" fillId="0" borderId="55" xfId="0" applyNumberFormat="1" applyFont="1" applyBorder="1" applyProtection="1">
      <protection locked="0"/>
    </xf>
    <xf numFmtId="4" fontId="0" fillId="0" borderId="13" xfId="0" applyNumberFormat="1" applyFont="1" applyFill="1" applyBorder="1" applyAlignment="1" applyProtection="1">
      <alignment horizontal="right"/>
    </xf>
    <xf numFmtId="4" fontId="0" fillId="0" borderId="2" xfId="0" applyNumberFormat="1" applyFont="1" applyFill="1" applyBorder="1" applyProtection="1">
      <protection locked="0"/>
    </xf>
    <xf numFmtId="4" fontId="0" fillId="0" borderId="54" xfId="0" applyNumberFormat="1" applyFont="1" applyBorder="1" applyProtection="1">
      <protection locked="0"/>
    </xf>
    <xf numFmtId="4" fontId="0" fillId="0" borderId="54" xfId="0" applyNumberFormat="1" applyFont="1" applyFill="1" applyBorder="1" applyProtection="1">
      <protection locked="0"/>
    </xf>
    <xf numFmtId="4" fontId="0" fillId="0" borderId="23" xfId="0" applyNumberFormat="1" applyFont="1" applyFill="1" applyBorder="1" applyAlignment="1" applyProtection="1">
      <alignment horizontal="right"/>
    </xf>
    <xf numFmtId="4" fontId="0" fillId="0" borderId="2" xfId="0" applyNumberFormat="1" applyFont="1" applyBorder="1" applyProtection="1">
      <protection locked="0"/>
    </xf>
    <xf numFmtId="4" fontId="0" fillId="0" borderId="40" xfId="0" applyNumberFormat="1" applyFont="1" applyBorder="1" applyProtection="1">
      <protection locked="0"/>
    </xf>
    <xf numFmtId="4" fontId="0" fillId="0" borderId="57" xfId="0" applyNumberFormat="1" applyFont="1" applyBorder="1" applyProtection="1">
      <protection locked="0"/>
    </xf>
    <xf numFmtId="4" fontId="0" fillId="0" borderId="14" xfId="0" applyNumberFormat="1" applyFont="1" applyFill="1" applyBorder="1" applyAlignment="1" applyProtection="1">
      <alignment horizontal="right"/>
    </xf>
    <xf numFmtId="164" fontId="8" fillId="0" borderId="1" xfId="0" applyNumberFormat="1" applyFont="1" applyFill="1" applyBorder="1" applyAlignment="1" applyProtection="1">
      <alignment horizontal="right"/>
      <protection locked="0"/>
    </xf>
    <xf numFmtId="164" fontId="8" fillId="0" borderId="1" xfId="0" applyNumberFormat="1" applyFont="1" applyFill="1" applyBorder="1" applyProtection="1"/>
    <xf numFmtId="0" fontId="1" fillId="0" borderId="22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21" fillId="0" borderId="22" xfId="0" applyFont="1" applyFill="1" applyBorder="1"/>
    <xf numFmtId="0" fontId="0" fillId="0" borderId="22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23" fillId="0" borderId="0" xfId="1" applyFont="1"/>
    <xf numFmtId="3" fontId="23" fillId="0" borderId="0" xfId="1" applyNumberFormat="1" applyFont="1"/>
    <xf numFmtId="0" fontId="20" fillId="0" borderId="0" xfId="0" applyFont="1"/>
    <xf numFmtId="4" fontId="23" fillId="0" borderId="0" xfId="1" applyNumberFormat="1" applyFont="1"/>
    <xf numFmtId="3" fontId="23" fillId="0" borderId="0" xfId="1" applyNumberFormat="1" applyFont="1" applyAlignment="1">
      <alignment horizontal="center"/>
    </xf>
    <xf numFmtId="3" fontId="20" fillId="0" borderId="0" xfId="0" applyNumberFormat="1" applyFont="1"/>
    <xf numFmtId="0" fontId="25" fillId="15" borderId="3" xfId="1" applyFont="1" applyFill="1" applyBorder="1"/>
    <xf numFmtId="3" fontId="23" fillId="0" borderId="34" xfId="1" applyNumberFormat="1" applyFont="1" applyBorder="1" applyAlignment="1">
      <alignment horizontal="center"/>
    </xf>
    <xf numFmtId="3" fontId="23" fillId="0" borderId="18" xfId="1" applyNumberFormat="1" applyFont="1" applyBorder="1" applyAlignment="1">
      <alignment horizontal="center"/>
    </xf>
    <xf numFmtId="3" fontId="23" fillId="0" borderId="19" xfId="1" applyNumberFormat="1" applyFont="1" applyBorder="1" applyAlignment="1">
      <alignment horizontal="center"/>
    </xf>
    <xf numFmtId="3" fontId="26" fillId="0" borderId="65" xfId="1" applyNumberFormat="1" applyFont="1" applyBorder="1" applyAlignment="1">
      <alignment horizontal="center"/>
    </xf>
    <xf numFmtId="3" fontId="26" fillId="0" borderId="66" xfId="1" applyNumberFormat="1" applyFont="1" applyBorder="1" applyAlignment="1">
      <alignment horizontal="center"/>
    </xf>
    <xf numFmtId="3" fontId="26" fillId="0" borderId="67" xfId="1" applyNumberFormat="1" applyFont="1" applyBorder="1" applyAlignment="1">
      <alignment horizontal="center"/>
    </xf>
    <xf numFmtId="4" fontId="23" fillId="15" borderId="34" xfId="1" applyNumberFormat="1" applyFont="1" applyFill="1" applyBorder="1" applyAlignment="1">
      <alignment horizontal="center"/>
    </xf>
    <xf numFmtId="4" fontId="23" fillId="15" borderId="18" xfId="1" applyNumberFormat="1" applyFont="1" applyFill="1" applyBorder="1" applyAlignment="1">
      <alignment horizontal="center"/>
    </xf>
    <xf numFmtId="4" fontId="23" fillId="15" borderId="19" xfId="1" applyNumberFormat="1" applyFont="1" applyFill="1" applyBorder="1" applyAlignment="1">
      <alignment horizontal="center"/>
    </xf>
    <xf numFmtId="3" fontId="6" fillId="0" borderId="0" xfId="0" applyNumberFormat="1" applyFont="1"/>
    <xf numFmtId="0" fontId="8" fillId="15" borderId="23" xfId="1" applyFont="1" applyFill="1" applyBorder="1" applyAlignment="1">
      <alignment vertical="center"/>
    </xf>
    <xf numFmtId="3" fontId="8" fillId="13" borderId="51" xfId="1" applyNumberFormat="1" applyFont="1" applyFill="1" applyBorder="1" applyAlignment="1">
      <alignment horizontal="center" vertical="center"/>
    </xf>
    <xf numFmtId="3" fontId="8" fillId="13" borderId="9" xfId="1" applyNumberFormat="1" applyFont="1" applyFill="1" applyBorder="1" applyAlignment="1">
      <alignment horizontal="center" vertical="center"/>
    </xf>
    <xf numFmtId="3" fontId="8" fillId="13" borderId="63" xfId="1" applyNumberFormat="1" applyFont="1" applyFill="1" applyBorder="1" applyAlignment="1">
      <alignment horizontal="center" vertical="center"/>
    </xf>
    <xf numFmtId="3" fontId="8" fillId="13" borderId="0" xfId="1" applyNumberFormat="1" applyFont="1" applyFill="1" applyAlignment="1">
      <alignment horizontal="center" vertical="center"/>
    </xf>
    <xf numFmtId="3" fontId="27" fillId="16" borderId="65" xfId="1" applyNumberFormat="1" applyFont="1" applyFill="1" applyBorder="1" applyAlignment="1">
      <alignment horizontal="center" vertical="center"/>
    </xf>
    <xf numFmtId="3" fontId="27" fillId="16" borderId="66" xfId="1" applyNumberFormat="1" applyFont="1" applyFill="1" applyBorder="1" applyAlignment="1">
      <alignment horizontal="center" vertical="center"/>
    </xf>
    <xf numFmtId="3" fontId="27" fillId="16" borderId="67" xfId="1" applyNumberFormat="1" applyFont="1" applyFill="1" applyBorder="1" applyAlignment="1">
      <alignment horizontal="center" vertical="center"/>
    </xf>
    <xf numFmtId="4" fontId="8" fillId="15" borderId="51" xfId="1" applyNumberFormat="1" applyFont="1" applyFill="1" applyBorder="1" applyAlignment="1">
      <alignment horizontal="center" vertical="center"/>
    </xf>
    <xf numFmtId="4" fontId="8" fillId="15" borderId="9" xfId="1" applyNumberFormat="1" applyFont="1" applyFill="1" applyBorder="1" applyAlignment="1">
      <alignment horizontal="center" vertical="center"/>
    </xf>
    <xf numFmtId="4" fontId="8" fillId="15" borderId="63" xfId="1" applyNumberFormat="1" applyFont="1" applyFill="1" applyBorder="1" applyAlignment="1">
      <alignment horizontal="center" vertical="center"/>
    </xf>
    <xf numFmtId="0" fontId="8" fillId="2" borderId="15" xfId="2" applyFont="1" applyFill="1" applyBorder="1"/>
    <xf numFmtId="3" fontId="8" fillId="13" borderId="49" xfId="1" applyNumberFormat="1" applyFont="1" applyFill="1" applyBorder="1" applyAlignment="1">
      <alignment horizontal="right"/>
    </xf>
    <xf numFmtId="3" fontId="8" fillId="13" borderId="1" xfId="1" applyNumberFormat="1" applyFont="1" applyFill="1" applyBorder="1" applyAlignment="1">
      <alignment horizontal="right"/>
    </xf>
    <xf numFmtId="3" fontId="8" fillId="13" borderId="50" xfId="1" applyNumberFormat="1" applyFont="1" applyFill="1" applyBorder="1" applyAlignment="1">
      <alignment horizontal="right"/>
    </xf>
    <xf numFmtId="3" fontId="8" fillId="13" borderId="0" xfId="1" applyNumberFormat="1" applyFont="1" applyFill="1" applyAlignment="1">
      <alignment horizontal="right"/>
    </xf>
    <xf numFmtId="3" fontId="28" fillId="16" borderId="68" xfId="1" applyNumberFormat="1" applyFont="1" applyFill="1" applyBorder="1" applyAlignment="1">
      <alignment horizontal="right"/>
    </xf>
    <xf numFmtId="3" fontId="28" fillId="16" borderId="69" xfId="1" applyNumberFormat="1" applyFont="1" applyFill="1" applyBorder="1" applyAlignment="1">
      <alignment horizontal="right"/>
    </xf>
    <xf numFmtId="3" fontId="28" fillId="16" borderId="70" xfId="1" applyNumberFormat="1" applyFont="1" applyFill="1" applyBorder="1" applyAlignment="1">
      <alignment horizontal="right"/>
    </xf>
    <xf numFmtId="4" fontId="8" fillId="2" borderId="49" xfId="1" applyNumberFormat="1" applyFont="1" applyFill="1" applyBorder="1" applyAlignment="1">
      <alignment horizontal="right"/>
    </xf>
    <xf numFmtId="4" fontId="8" fillId="2" borderId="1" xfId="1" applyNumberFormat="1" applyFont="1" applyFill="1" applyBorder="1" applyAlignment="1">
      <alignment horizontal="right"/>
    </xf>
    <xf numFmtId="4" fontId="8" fillId="2" borderId="50" xfId="1" applyNumberFormat="1" applyFont="1" applyFill="1" applyBorder="1" applyAlignment="1">
      <alignment horizontal="right"/>
    </xf>
    <xf numFmtId="3" fontId="28" fillId="16" borderId="71" xfId="1" applyNumberFormat="1" applyFont="1" applyFill="1" applyBorder="1" applyAlignment="1">
      <alignment horizontal="right"/>
    </xf>
    <xf numFmtId="3" fontId="28" fillId="16" borderId="72" xfId="1" applyNumberFormat="1" applyFont="1" applyFill="1" applyBorder="1" applyAlignment="1">
      <alignment horizontal="right"/>
    </xf>
    <xf numFmtId="3" fontId="28" fillId="16" borderId="73" xfId="1" applyNumberFormat="1" applyFont="1" applyFill="1" applyBorder="1" applyAlignment="1">
      <alignment horizontal="right"/>
    </xf>
    <xf numFmtId="0" fontId="25" fillId="0" borderId="15" xfId="1" applyFont="1" applyBorder="1" applyAlignment="1">
      <alignment horizontal="left" vertical="center" wrapText="1"/>
    </xf>
    <xf numFmtId="3" fontId="7" fillId="0" borderId="49" xfId="1" applyNumberFormat="1" applyFont="1" applyBorder="1" applyAlignment="1">
      <alignment horizontal="right"/>
    </xf>
    <xf numFmtId="3" fontId="7" fillId="0" borderId="1" xfId="1" applyNumberFormat="1" applyFont="1" applyBorder="1" applyAlignment="1">
      <alignment horizontal="right"/>
    </xf>
    <xf numFmtId="3" fontId="7" fillId="0" borderId="50" xfId="1" applyNumberFormat="1" applyFont="1" applyBorder="1" applyAlignment="1">
      <alignment horizontal="right"/>
    </xf>
    <xf numFmtId="3" fontId="7" fillId="0" borderId="0" xfId="1" applyNumberFormat="1" applyFont="1" applyAlignment="1">
      <alignment horizontal="right"/>
    </xf>
    <xf numFmtId="3" fontId="0" fillId="0" borderId="74" xfId="1" applyNumberFormat="1" applyFont="1" applyBorder="1" applyAlignment="1">
      <alignment horizontal="right"/>
    </xf>
    <xf numFmtId="3" fontId="0" fillId="0" borderId="75" xfId="1" applyNumberFormat="1" applyFont="1" applyBorder="1" applyAlignment="1">
      <alignment horizontal="right"/>
    </xf>
    <xf numFmtId="3" fontId="0" fillId="0" borderId="76" xfId="1" applyNumberFormat="1" applyFont="1" applyBorder="1" applyAlignment="1">
      <alignment horizontal="right"/>
    </xf>
    <xf numFmtId="4" fontId="7" fillId="15" borderId="49" xfId="1" applyNumberFormat="1" applyFont="1" applyFill="1" applyBorder="1" applyAlignment="1">
      <alignment horizontal="right"/>
    </xf>
    <xf numFmtId="4" fontId="7" fillId="3" borderId="1" xfId="1" applyNumberFormat="1" applyFont="1" applyFill="1" applyBorder="1" applyAlignment="1">
      <alignment horizontal="right"/>
    </xf>
    <xf numFmtId="4" fontId="7" fillId="3" borderId="50" xfId="1" applyNumberFormat="1" applyFont="1" applyFill="1" applyBorder="1" applyAlignment="1">
      <alignment horizontal="right"/>
    </xf>
    <xf numFmtId="3" fontId="0" fillId="3" borderId="75" xfId="1" applyNumberFormat="1" applyFont="1" applyFill="1" applyBorder="1" applyAlignment="1">
      <alignment horizontal="right"/>
    </xf>
    <xf numFmtId="3" fontId="0" fillId="3" borderId="76" xfId="1" applyNumberFormat="1" applyFont="1" applyFill="1" applyBorder="1" applyAlignment="1">
      <alignment horizontal="right"/>
    </xf>
    <xf numFmtId="0" fontId="7" fillId="0" borderId="15" xfId="1" applyFont="1" applyBorder="1" applyAlignment="1">
      <alignment horizontal="left" vertical="center" wrapText="1"/>
    </xf>
    <xf numFmtId="3" fontId="0" fillId="0" borderId="74" xfId="1" applyNumberFormat="1" applyFont="1" applyBorder="1"/>
    <xf numFmtId="3" fontId="0" fillId="0" borderId="75" xfId="1" applyNumberFormat="1" applyFont="1" applyBorder="1"/>
    <xf numFmtId="3" fontId="0" fillId="0" borderId="76" xfId="1" applyNumberFormat="1" applyFont="1" applyBorder="1"/>
    <xf numFmtId="3" fontId="8" fillId="13" borderId="49" xfId="1" applyNumberFormat="1" applyFont="1" applyFill="1" applyBorder="1"/>
    <xf numFmtId="3" fontId="8" fillId="13" borderId="1" xfId="1" applyNumberFormat="1" applyFont="1" applyFill="1" applyBorder="1"/>
    <xf numFmtId="3" fontId="8" fillId="13" borderId="50" xfId="1" applyNumberFormat="1" applyFont="1" applyFill="1" applyBorder="1"/>
    <xf numFmtId="3" fontId="8" fillId="13" borderId="0" xfId="1" applyNumberFormat="1" applyFont="1" applyFill="1"/>
    <xf numFmtId="3" fontId="28" fillId="16" borderId="74" xfId="1" applyNumberFormat="1" applyFont="1" applyFill="1" applyBorder="1"/>
    <xf numFmtId="3" fontId="28" fillId="16" borderId="75" xfId="1" applyNumberFormat="1" applyFont="1" applyFill="1" applyBorder="1"/>
    <xf numFmtId="3" fontId="28" fillId="16" borderId="76" xfId="1" applyNumberFormat="1" applyFont="1" applyFill="1" applyBorder="1"/>
    <xf numFmtId="4" fontId="8" fillId="2" borderId="49" xfId="1" applyNumberFormat="1" applyFont="1" applyFill="1" applyBorder="1"/>
    <xf numFmtId="4" fontId="8" fillId="2" borderId="1" xfId="1" applyNumberFormat="1" applyFont="1" applyFill="1" applyBorder="1"/>
    <xf numFmtId="4" fontId="8" fillId="2" borderId="50" xfId="1" applyNumberFormat="1" applyFont="1" applyFill="1" applyBorder="1"/>
    <xf numFmtId="0" fontId="25" fillId="13" borderId="15" xfId="1" applyFont="1" applyFill="1" applyBorder="1" applyAlignment="1">
      <alignment horizontal="left" vertical="center" wrapText="1"/>
    </xf>
    <xf numFmtId="3" fontId="7" fillId="13" borderId="49" xfId="1" applyNumberFormat="1" applyFont="1" applyFill="1" applyBorder="1"/>
    <xf numFmtId="3" fontId="7" fillId="13" borderId="50" xfId="1" applyNumberFormat="1" applyFont="1" applyFill="1" applyBorder="1"/>
    <xf numFmtId="3" fontId="7" fillId="13" borderId="0" xfId="1" applyNumberFormat="1" applyFont="1" applyFill="1"/>
    <xf numFmtId="4" fontId="7" fillId="3" borderId="50" xfId="1" applyNumberFormat="1" applyFont="1" applyFill="1" applyBorder="1"/>
    <xf numFmtId="0" fontId="23" fillId="2" borderId="15" xfId="1" applyFont="1" applyFill="1" applyBorder="1" applyAlignment="1">
      <alignment horizontal="left" vertical="center" wrapText="1"/>
    </xf>
    <xf numFmtId="3" fontId="28" fillId="16" borderId="74" xfId="1" applyNumberFormat="1" applyFont="1" applyFill="1" applyBorder="1" applyAlignment="1">
      <alignment horizontal="right"/>
    </xf>
    <xf numFmtId="3" fontId="28" fillId="16" borderId="75" xfId="1" applyNumberFormat="1" applyFont="1" applyFill="1" applyBorder="1" applyAlignment="1">
      <alignment horizontal="right"/>
    </xf>
    <xf numFmtId="3" fontId="28" fillId="16" borderId="76" xfId="1" applyNumberFormat="1" applyFont="1" applyFill="1" applyBorder="1" applyAlignment="1">
      <alignment horizontal="right"/>
    </xf>
    <xf numFmtId="0" fontId="25" fillId="13" borderId="16" xfId="1" applyFont="1" applyFill="1" applyBorder="1" applyAlignment="1">
      <alignment horizontal="left" vertical="center" wrapText="1"/>
    </xf>
    <xf numFmtId="3" fontId="7" fillId="13" borderId="11" xfId="1" applyNumberFormat="1" applyFont="1" applyFill="1" applyBorder="1"/>
    <xf numFmtId="3" fontId="7" fillId="13" borderId="44" xfId="1" applyNumberFormat="1" applyFont="1" applyFill="1" applyBorder="1"/>
    <xf numFmtId="3" fontId="7" fillId="13" borderId="46" xfId="1" applyNumberFormat="1" applyFont="1" applyFill="1" applyBorder="1"/>
    <xf numFmtId="3" fontId="0" fillId="17" borderId="74" xfId="1" applyNumberFormat="1" applyFont="1" applyFill="1" applyBorder="1"/>
    <xf numFmtId="3" fontId="0" fillId="17" borderId="75" xfId="1" applyNumberFormat="1" applyFont="1" applyFill="1" applyBorder="1"/>
    <xf numFmtId="3" fontId="0" fillId="17" borderId="76" xfId="1" applyNumberFormat="1" applyFont="1" applyFill="1" applyBorder="1"/>
    <xf numFmtId="4" fontId="7" fillId="3" borderId="44" xfId="1" applyNumberFormat="1" applyFont="1" applyFill="1" applyBorder="1"/>
    <xf numFmtId="4" fontId="7" fillId="3" borderId="46" xfId="1" applyNumberFormat="1" applyFont="1" applyFill="1" applyBorder="1"/>
    <xf numFmtId="3" fontId="0" fillId="17" borderId="75" xfId="1" applyNumberFormat="1" applyFont="1" applyFill="1" applyBorder="1" applyAlignment="1">
      <alignment horizontal="right"/>
    </xf>
    <xf numFmtId="3" fontId="0" fillId="17" borderId="76" xfId="1" applyNumberFormat="1" applyFont="1" applyFill="1" applyBorder="1" applyAlignment="1">
      <alignment horizontal="right"/>
    </xf>
    <xf numFmtId="0" fontId="8" fillId="2" borderId="3" xfId="2" applyFont="1" applyFill="1" applyBorder="1"/>
    <xf numFmtId="3" fontId="8" fillId="13" borderId="34" xfId="1" applyNumberFormat="1" applyFont="1" applyFill="1" applyBorder="1"/>
    <xf numFmtId="3" fontId="8" fillId="13" borderId="18" xfId="1" applyNumberFormat="1" applyFont="1" applyFill="1" applyBorder="1"/>
    <xf numFmtId="3" fontId="8" fillId="13" borderId="19" xfId="1" applyNumberFormat="1" applyFont="1" applyFill="1" applyBorder="1"/>
    <xf numFmtId="3" fontId="28" fillId="16" borderId="77" xfId="1" applyNumberFormat="1" applyFont="1" applyFill="1" applyBorder="1"/>
    <xf numFmtId="3" fontId="28" fillId="16" borderId="78" xfId="1" applyNumberFormat="1" applyFont="1" applyFill="1" applyBorder="1"/>
    <xf numFmtId="3" fontId="28" fillId="16" borderId="79" xfId="1" applyNumberFormat="1" applyFont="1" applyFill="1" applyBorder="1"/>
    <xf numFmtId="4" fontId="8" fillId="2" borderId="34" xfId="1" applyNumberFormat="1" applyFont="1" applyFill="1" applyBorder="1"/>
    <xf numFmtId="4" fontId="8" fillId="2" borderId="18" xfId="1" applyNumberFormat="1" applyFont="1" applyFill="1" applyBorder="1"/>
    <xf numFmtId="4" fontId="8" fillId="2" borderId="19" xfId="1" applyNumberFormat="1" applyFont="1" applyFill="1" applyBorder="1"/>
    <xf numFmtId="0" fontId="7" fillId="13" borderId="0" xfId="1" applyFont="1" applyFill="1" applyAlignment="1">
      <alignment horizontal="left" vertical="center" wrapText="1"/>
    </xf>
    <xf numFmtId="4" fontId="7" fillId="13" borderId="0" xfId="1" applyNumberFormat="1" applyFont="1" applyFill="1"/>
    <xf numFmtId="0" fontId="25" fillId="15" borderId="3" xfId="1" applyFont="1" applyFill="1" applyBorder="1" applyAlignment="1">
      <alignment horizontal="left" vertical="center" wrapText="1"/>
    </xf>
    <xf numFmtId="3" fontId="23" fillId="13" borderId="34" xfId="1" applyNumberFormat="1" applyFont="1" applyFill="1" applyBorder="1" applyAlignment="1">
      <alignment horizontal="center"/>
    </xf>
    <xf numFmtId="3" fontId="23" fillId="13" borderId="18" xfId="1" applyNumberFormat="1" applyFont="1" applyFill="1" applyBorder="1" applyAlignment="1">
      <alignment horizontal="center"/>
    </xf>
    <xf numFmtId="3" fontId="23" fillId="13" borderId="19" xfId="1" applyNumberFormat="1" applyFont="1" applyFill="1" applyBorder="1" applyAlignment="1">
      <alignment horizontal="center"/>
    </xf>
    <xf numFmtId="3" fontId="23" fillId="13" borderId="0" xfId="1" applyNumberFormat="1" applyFont="1" applyFill="1" applyAlignment="1">
      <alignment horizontal="center"/>
    </xf>
    <xf numFmtId="3" fontId="27" fillId="16" borderId="68" xfId="1" applyNumberFormat="1" applyFont="1" applyFill="1" applyBorder="1" applyAlignment="1">
      <alignment horizontal="center" vertical="center"/>
    </xf>
    <xf numFmtId="3" fontId="27" fillId="16" borderId="69" xfId="1" applyNumberFormat="1" applyFont="1" applyFill="1" applyBorder="1" applyAlignment="1">
      <alignment horizontal="center" vertical="center"/>
    </xf>
    <xf numFmtId="3" fontId="27" fillId="16" borderId="70" xfId="1" applyNumberFormat="1" applyFont="1" applyFill="1" applyBorder="1" applyAlignment="1">
      <alignment horizontal="center" vertical="center"/>
    </xf>
    <xf numFmtId="3" fontId="7" fillId="13" borderId="49" xfId="1" applyNumberFormat="1" applyFont="1" applyFill="1" applyBorder="1" applyAlignment="1">
      <alignment horizontal="right"/>
    </xf>
    <xf numFmtId="3" fontId="7" fillId="13" borderId="50" xfId="1" applyNumberFormat="1" applyFont="1" applyFill="1" applyBorder="1" applyAlignment="1">
      <alignment horizontal="right"/>
    </xf>
    <xf numFmtId="3" fontId="7" fillId="13" borderId="0" xfId="1" applyNumberFormat="1" applyFont="1" applyFill="1" applyAlignment="1">
      <alignment horizontal="right"/>
    </xf>
    <xf numFmtId="0" fontId="7" fillId="13" borderId="15" xfId="1" applyFont="1" applyFill="1" applyBorder="1" applyAlignment="1">
      <alignment horizontal="left" vertical="center" wrapText="1"/>
    </xf>
    <xf numFmtId="3" fontId="7" fillId="13" borderId="1" xfId="1" applyNumberFormat="1" applyFont="1" applyFill="1" applyBorder="1"/>
    <xf numFmtId="4" fontId="7" fillId="3" borderId="1" xfId="1" applyNumberFormat="1" applyFont="1" applyFill="1" applyBorder="1"/>
    <xf numFmtId="10" fontId="20" fillId="0" borderId="0" xfId="0" applyNumberFormat="1" applyFont="1"/>
    <xf numFmtId="0" fontId="8" fillId="2" borderId="60" xfId="2" applyFont="1" applyFill="1" applyBorder="1"/>
    <xf numFmtId="3" fontId="8" fillId="13" borderId="45" xfId="1" applyNumberFormat="1" applyFont="1" applyFill="1" applyBorder="1"/>
    <xf numFmtId="3" fontId="8" fillId="13" borderId="80" xfId="1" applyNumberFormat="1" applyFont="1" applyFill="1" applyBorder="1"/>
    <xf numFmtId="3" fontId="8" fillId="13" borderId="6" xfId="1" applyNumberFormat="1" applyFont="1" applyFill="1" applyBorder="1"/>
    <xf numFmtId="4" fontId="8" fillId="2" borderId="45" xfId="1" applyNumberFormat="1" applyFont="1" applyFill="1" applyBorder="1"/>
    <xf numFmtId="4" fontId="8" fillId="2" borderId="80" xfId="1" applyNumberFormat="1" applyFont="1" applyFill="1" applyBorder="1"/>
    <xf numFmtId="4" fontId="8" fillId="2" borderId="6" xfId="1" applyNumberFormat="1" applyFont="1" applyFill="1" applyBorder="1"/>
    <xf numFmtId="0" fontId="25" fillId="13" borderId="0" xfId="1" applyFont="1" applyFill="1" applyAlignment="1">
      <alignment horizontal="left" vertical="center" wrapText="1"/>
    </xf>
    <xf numFmtId="3" fontId="25" fillId="13" borderId="0" xfId="1" applyNumberFormat="1" applyFont="1" applyFill="1"/>
    <xf numFmtId="4" fontId="25" fillId="13" borderId="0" xfId="1" applyNumberFormat="1" applyFont="1" applyFill="1"/>
    <xf numFmtId="0" fontId="25" fillId="15" borderId="41" xfId="1" applyFont="1" applyFill="1" applyBorder="1" applyAlignment="1">
      <alignment horizontal="left" vertical="center" wrapText="1"/>
    </xf>
    <xf numFmtId="0" fontId="8" fillId="15" borderId="61" xfId="1" applyFont="1" applyFill="1" applyBorder="1" applyAlignment="1">
      <alignment vertical="center"/>
    </xf>
    <xf numFmtId="4" fontId="8" fillId="15" borderId="23" xfId="1" applyNumberFormat="1" applyFont="1" applyFill="1" applyBorder="1" applyAlignment="1">
      <alignment horizontal="center" vertical="center"/>
    </xf>
    <xf numFmtId="3" fontId="27" fillId="16" borderId="71" xfId="1" applyNumberFormat="1" applyFont="1" applyFill="1" applyBorder="1" applyAlignment="1">
      <alignment horizontal="center" vertical="center"/>
    </xf>
    <xf numFmtId="3" fontId="27" fillId="16" borderId="72" xfId="1" applyNumberFormat="1" applyFont="1" applyFill="1" applyBorder="1" applyAlignment="1">
      <alignment horizontal="center" vertical="center"/>
    </xf>
    <xf numFmtId="3" fontId="27" fillId="16" borderId="73" xfId="1" applyNumberFormat="1" applyFont="1" applyFill="1" applyBorder="1" applyAlignment="1">
      <alignment horizontal="center" vertical="center"/>
    </xf>
    <xf numFmtId="0" fontId="8" fillId="2" borderId="81" xfId="2" applyFont="1" applyFill="1" applyBorder="1"/>
    <xf numFmtId="3" fontId="28" fillId="16" borderId="82" xfId="1" applyNumberFormat="1" applyFont="1" applyFill="1" applyBorder="1" applyAlignment="1">
      <alignment horizontal="right"/>
    </xf>
    <xf numFmtId="0" fontId="25" fillId="13" borderId="81" xfId="1" applyFont="1" applyFill="1" applyBorder="1" applyAlignment="1">
      <alignment horizontal="left" vertical="center" wrapText="1"/>
    </xf>
    <xf numFmtId="3" fontId="7" fillId="13" borderId="83" xfId="1" applyNumberFormat="1" applyFont="1" applyFill="1" applyBorder="1" applyAlignment="1">
      <alignment horizontal="right"/>
    </xf>
    <xf numFmtId="3" fontId="7" fillId="13" borderId="84" xfId="1" applyNumberFormat="1" applyFont="1" applyFill="1" applyBorder="1" applyAlignment="1">
      <alignment horizontal="right"/>
    </xf>
    <xf numFmtId="4" fontId="7" fillId="3" borderId="83" xfId="1" applyNumberFormat="1" applyFont="1" applyFill="1" applyBorder="1" applyAlignment="1">
      <alignment horizontal="right"/>
    </xf>
    <xf numFmtId="4" fontId="7" fillId="3" borderId="84" xfId="1" applyNumberFormat="1" applyFont="1" applyFill="1" applyBorder="1" applyAlignment="1">
      <alignment horizontal="right"/>
    </xf>
    <xf numFmtId="3" fontId="0" fillId="0" borderId="82" xfId="1" applyNumberFormat="1" applyFont="1" applyBorder="1" applyAlignment="1">
      <alignment horizontal="right"/>
    </xf>
    <xf numFmtId="0" fontId="7" fillId="13" borderId="81" xfId="1" applyFont="1" applyFill="1" applyBorder="1" applyAlignment="1">
      <alignment horizontal="left" vertical="center" wrapText="1"/>
    </xf>
    <xf numFmtId="3" fontId="28" fillId="16" borderId="82" xfId="1" applyNumberFormat="1" applyFont="1" applyFill="1" applyBorder="1"/>
    <xf numFmtId="3" fontId="7" fillId="13" borderId="83" xfId="1" applyNumberFormat="1" applyFont="1" applyFill="1" applyBorder="1"/>
    <xf numFmtId="3" fontId="7" fillId="13" borderId="84" xfId="1" applyNumberFormat="1" applyFont="1" applyFill="1" applyBorder="1"/>
    <xf numFmtId="4" fontId="7" fillId="3" borderId="83" xfId="1" applyNumberFormat="1" applyFont="1" applyFill="1" applyBorder="1"/>
    <xf numFmtId="4" fontId="7" fillId="3" borderId="84" xfId="1" applyNumberFormat="1" applyFont="1" applyFill="1" applyBorder="1"/>
    <xf numFmtId="3" fontId="0" fillId="3" borderId="76" xfId="1" applyNumberFormat="1" applyFont="1" applyFill="1" applyBorder="1"/>
    <xf numFmtId="3" fontId="0" fillId="0" borderId="82" xfId="1" applyNumberFormat="1" applyFont="1" applyBorder="1"/>
    <xf numFmtId="0" fontId="8" fillId="2" borderId="85" xfId="2" applyFont="1" applyFill="1" applyBorder="1"/>
    <xf numFmtId="3" fontId="28" fillId="16" borderId="86" xfId="1" applyNumberFormat="1" applyFont="1" applyFill="1" applyBorder="1"/>
    <xf numFmtId="4" fontId="7" fillId="15" borderId="83" xfId="1" applyNumberFormat="1" applyFont="1" applyFill="1" applyBorder="1" applyAlignment="1">
      <alignment horizontal="right"/>
    </xf>
    <xf numFmtId="4" fontId="7" fillId="15" borderId="84" xfId="1" applyNumberFormat="1" applyFont="1" applyFill="1" applyBorder="1" applyAlignment="1">
      <alignment horizontal="right"/>
    </xf>
    <xf numFmtId="4" fontId="7" fillId="15" borderId="83" xfId="1" applyNumberFormat="1" applyFont="1" applyFill="1" applyBorder="1"/>
    <xf numFmtId="4" fontId="7" fillId="15" borderId="84" xfId="1" applyNumberFormat="1" applyFont="1" applyFill="1" applyBorder="1"/>
    <xf numFmtId="2" fontId="20" fillId="0" borderId="0" xfId="0" applyNumberFormat="1" applyFont="1"/>
    <xf numFmtId="4" fontId="7" fillId="15" borderId="46" xfId="1" applyNumberFormat="1" applyFont="1" applyFill="1" applyBorder="1"/>
    <xf numFmtId="0" fontId="23" fillId="2" borderId="81" xfId="1" applyFont="1" applyFill="1" applyBorder="1" applyAlignment="1">
      <alignment horizontal="left" vertical="center" wrapText="1"/>
    </xf>
    <xf numFmtId="3" fontId="8" fillId="13" borderId="15" xfId="1" applyNumberFormat="1" applyFont="1" applyFill="1" applyBorder="1" applyAlignment="1">
      <alignment horizontal="right"/>
    </xf>
    <xf numFmtId="4" fontId="8" fillId="2" borderId="15" xfId="1" applyNumberFormat="1" applyFont="1" applyFill="1" applyBorder="1" applyAlignment="1">
      <alignment horizontal="right"/>
    </xf>
    <xf numFmtId="4" fontId="7" fillId="15" borderId="1" xfId="1" applyNumberFormat="1" applyFont="1" applyFill="1" applyBorder="1"/>
    <xf numFmtId="4" fontId="7" fillId="15" borderId="50" xfId="1" applyNumberFormat="1" applyFont="1" applyFill="1" applyBorder="1"/>
    <xf numFmtId="3" fontId="8" fillId="13" borderId="60" xfId="1" applyNumberFormat="1" applyFont="1" applyFill="1" applyBorder="1"/>
    <xf numFmtId="4" fontId="8" fillId="2" borderId="60" xfId="1" applyNumberFormat="1" applyFont="1" applyFill="1" applyBorder="1"/>
    <xf numFmtId="0" fontId="0" fillId="0" borderId="47" xfId="0" applyBorder="1"/>
    <xf numFmtId="4" fontId="0" fillId="0" borderId="62" xfId="0" applyNumberFormat="1" applyBorder="1"/>
    <xf numFmtId="4" fontId="0" fillId="0" borderId="48" xfId="0" applyNumberFormat="1" applyBorder="1"/>
    <xf numFmtId="3" fontId="29" fillId="0" borderId="0" xfId="1" applyNumberFormat="1" applyFont="1"/>
    <xf numFmtId="4" fontId="0" fillId="0" borderId="0" xfId="0" applyNumberFormat="1"/>
    <xf numFmtId="0" fontId="29" fillId="0" borderId="0" xfId="3"/>
    <xf numFmtId="10" fontId="0" fillId="0" borderId="0" xfId="0" applyNumberFormat="1"/>
    <xf numFmtId="10" fontId="0" fillId="8" borderId="0" xfId="0" applyNumberFormat="1" applyFill="1"/>
    <xf numFmtId="0" fontId="1" fillId="0" borderId="0" xfId="0" applyFont="1" applyAlignment="1" applyProtection="1">
      <alignment horizontal="left"/>
      <protection locked="0"/>
    </xf>
    <xf numFmtId="0" fontId="7" fillId="8" borderId="0" xfId="0" applyFont="1" applyFill="1"/>
    <xf numFmtId="0" fontId="7" fillId="0" borderId="8" xfId="2" applyFont="1" applyBorder="1" applyProtection="1"/>
    <xf numFmtId="164" fontId="8" fillId="0" borderId="31" xfId="0" applyNumberFormat="1" applyFont="1" applyFill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16" fillId="0" borderId="17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/>
    </xf>
    <xf numFmtId="0" fontId="1" fillId="4" borderId="28" xfId="0" applyFont="1" applyFill="1" applyBorder="1" applyAlignment="1" applyProtection="1">
      <alignment horizontal="center" vertical="center" wrapText="1"/>
    </xf>
    <xf numFmtId="0" fontId="1" fillId="4" borderId="26" xfId="0" applyFont="1" applyFill="1" applyBorder="1" applyAlignment="1" applyProtection="1">
      <alignment horizontal="center" vertical="center" wrapText="1"/>
    </xf>
    <xf numFmtId="0" fontId="1" fillId="4" borderId="29" xfId="0" applyFont="1" applyFill="1" applyBorder="1" applyAlignment="1" applyProtection="1">
      <alignment horizontal="center" vertical="center" wrapText="1"/>
    </xf>
    <xf numFmtId="0" fontId="1" fillId="3" borderId="41" xfId="0" applyFont="1" applyFill="1" applyBorder="1" applyAlignment="1" applyProtection="1">
      <alignment horizontal="center" vertical="center" wrapText="1"/>
    </xf>
    <xf numFmtId="0" fontId="1" fillId="3" borderId="42" xfId="0" applyFont="1" applyFill="1" applyBorder="1" applyAlignment="1" applyProtection="1">
      <alignment horizontal="center" vertical="center" wrapText="1"/>
    </xf>
    <xf numFmtId="0" fontId="1" fillId="3" borderId="56" xfId="0" applyFont="1" applyFill="1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164" fontId="0" fillId="0" borderId="27" xfId="0" applyNumberFormat="1" applyBorder="1" applyAlignment="1" applyProtection="1">
      <alignment horizontal="center" vertical="center"/>
    </xf>
    <xf numFmtId="164" fontId="0" fillId="0" borderId="20" xfId="0" applyNumberForma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8" fillId="5" borderId="41" xfId="0" applyNumberFormat="1" applyFont="1" applyFill="1" applyBorder="1" applyAlignment="1" applyProtection="1">
      <alignment horizontal="center"/>
    </xf>
    <xf numFmtId="164" fontId="8" fillId="5" borderId="42" xfId="0" applyNumberFormat="1" applyFont="1" applyFill="1" applyBorder="1" applyAlignment="1" applyProtection="1">
      <alignment horizontal="center"/>
    </xf>
    <xf numFmtId="164" fontId="8" fillId="5" borderId="59" xfId="0" applyNumberFormat="1" applyFont="1" applyFill="1" applyBorder="1" applyAlignment="1" applyProtection="1">
      <alignment horizontal="center"/>
    </xf>
    <xf numFmtId="164" fontId="8" fillId="5" borderId="53" xfId="0" applyNumberFormat="1" applyFont="1" applyFill="1" applyBorder="1" applyAlignment="1" applyProtection="1">
      <alignment horizontal="center"/>
    </xf>
    <xf numFmtId="0" fontId="1" fillId="0" borderId="41" xfId="0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164" fontId="0" fillId="0" borderId="27" xfId="0" applyNumberFormat="1" applyFont="1" applyBorder="1" applyAlignment="1" applyProtection="1">
      <alignment horizontal="center" vertical="center"/>
    </xf>
    <xf numFmtId="164" fontId="0" fillId="0" borderId="20" xfId="0" applyNumberFormat="1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  <xf numFmtId="0" fontId="0" fillId="0" borderId="22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164" fontId="1" fillId="0" borderId="39" xfId="0" applyNumberFormat="1" applyFont="1" applyFill="1" applyBorder="1" applyAlignment="1" applyProtection="1">
      <alignment horizontal="left"/>
      <protection locked="0"/>
    </xf>
    <xf numFmtId="0" fontId="22" fillId="0" borderId="22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/>
      <protection locked="0"/>
    </xf>
    <xf numFmtId="0" fontId="1" fillId="0" borderId="25" xfId="0" applyFont="1" applyFill="1" applyBorder="1" applyAlignment="1" applyProtection="1">
      <alignment horizontal="center" wrapText="1"/>
    </xf>
    <xf numFmtId="0" fontId="1" fillId="0" borderId="24" xfId="0" applyFont="1" applyFill="1" applyBorder="1" applyAlignment="1" applyProtection="1">
      <alignment horizontal="center" wrapText="1"/>
    </xf>
    <xf numFmtId="0" fontId="0" fillId="0" borderId="30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14" fillId="0" borderId="53" xfId="0" applyFont="1" applyFill="1" applyBorder="1" applyAlignment="1" applyProtection="1">
      <alignment horizontal="center" vertical="center"/>
    </xf>
    <xf numFmtId="0" fontId="14" fillId="0" borderId="48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0" fontId="1" fillId="0" borderId="22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12" borderId="58" xfId="0" applyFont="1" applyFill="1" applyBorder="1" applyAlignment="1" applyProtection="1">
      <alignment horizontal="left" vertical="center"/>
    </xf>
    <xf numFmtId="0" fontId="1" fillId="12" borderId="47" xfId="0" applyFont="1" applyFill="1" applyBorder="1" applyAlignment="1" applyProtection="1">
      <alignment horizontal="left" vertical="center"/>
    </xf>
    <xf numFmtId="0" fontId="1" fillId="12" borderId="21" xfId="0" applyFont="1" applyFill="1" applyBorder="1" applyAlignment="1" applyProtection="1">
      <alignment horizontal="left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10" fontId="15" fillId="0" borderId="30" xfId="0" applyNumberFormat="1" applyFont="1" applyFill="1" applyBorder="1" applyAlignment="1" applyProtection="1">
      <alignment horizontal="center" vertical="center" wrapText="1"/>
    </xf>
    <xf numFmtId="10" fontId="15" fillId="0" borderId="14" xfId="0" applyNumberFormat="1" applyFont="1" applyFill="1" applyBorder="1" applyAlignment="1" applyProtection="1">
      <alignment horizontal="center" vertical="center" wrapText="1"/>
    </xf>
    <xf numFmtId="10" fontId="15" fillId="0" borderId="21" xfId="0" applyNumberFormat="1" applyFont="1" applyFill="1" applyBorder="1" applyAlignment="1" applyProtection="1">
      <alignment horizontal="center" vertical="center" wrapText="1"/>
    </xf>
    <xf numFmtId="10" fontId="1" fillId="0" borderId="30" xfId="0" applyNumberFormat="1" applyFont="1" applyBorder="1" applyAlignment="1" applyProtection="1">
      <alignment horizontal="center" vertical="center" wrapText="1"/>
    </xf>
    <xf numFmtId="10" fontId="1" fillId="0" borderId="14" xfId="0" applyNumberFormat="1" applyFont="1" applyBorder="1" applyAlignment="1" applyProtection="1">
      <alignment horizontal="center" vertical="center" wrapText="1"/>
    </xf>
    <xf numFmtId="10" fontId="1" fillId="0" borderId="21" xfId="0" applyNumberFormat="1" applyFont="1" applyBorder="1" applyAlignment="1" applyProtection="1">
      <alignment horizontal="center" vertical="center" wrapText="1"/>
    </xf>
    <xf numFmtId="3" fontId="23" fillId="0" borderId="0" xfId="1" applyNumberFormat="1" applyFont="1" applyAlignment="1">
      <alignment horizontal="center"/>
    </xf>
    <xf numFmtId="3" fontId="24" fillId="0" borderId="64" xfId="1" applyNumberFormat="1" applyFont="1" applyBorder="1" applyAlignment="1">
      <alignment horizontal="center"/>
    </xf>
    <xf numFmtId="4" fontId="23" fillId="0" borderId="0" xfId="1" applyNumberFormat="1" applyFont="1" applyAlignment="1">
      <alignment horizontal="center"/>
    </xf>
  </cellXfs>
  <cellStyles count="4">
    <cellStyle name="Normální" xfId="0" builtinId="0"/>
    <cellStyle name="Normální 2" xfId="1"/>
    <cellStyle name="normální 3" xfId="3"/>
    <cellStyle name="normální_Tabulka školy, návrh rozpočtu" xfId="2"/>
  </cellStyles>
  <dxfs count="4"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279"/>
  <sheetViews>
    <sheetView showGridLines="0" tabSelected="1" zoomScale="70" zoomScaleNormal="70" zoomScaleSheetLayoutView="80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I17" sqref="I17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36.5703125" customWidth="1"/>
    <col min="4" max="4" width="16.5703125" customWidth="1"/>
    <col min="5" max="5" width="17.85546875" customWidth="1"/>
    <col min="6" max="6" width="16.85546875" customWidth="1"/>
    <col min="7" max="7" width="21.28515625" customWidth="1"/>
    <col min="8" max="8" width="14.140625" customWidth="1"/>
    <col min="9" max="9" width="16.7109375" customWidth="1"/>
    <col min="10" max="10" width="16.140625" customWidth="1"/>
    <col min="11" max="11" width="17.85546875" customWidth="1"/>
    <col min="12" max="12" width="16.140625" customWidth="1"/>
    <col min="13" max="13" width="23.42578125" style="1" customWidth="1"/>
    <col min="14" max="14" width="15.42578125" bestFit="1" customWidth="1"/>
    <col min="15" max="15" width="16.7109375" customWidth="1"/>
    <col min="16" max="18" width="16.42578125" customWidth="1"/>
    <col min="19" max="19" width="21.140625" customWidth="1"/>
    <col min="20" max="20" width="13.140625" bestFit="1" customWidth="1"/>
    <col min="21" max="21" width="16.7109375" customWidth="1"/>
    <col min="22" max="22" width="16.140625" bestFit="1" customWidth="1"/>
    <col min="23" max="23" width="14.140625" bestFit="1" customWidth="1"/>
    <col min="24" max="24" width="16.7109375" bestFit="1" customWidth="1"/>
    <col min="25" max="25" width="21.85546875" customWidth="1"/>
    <col min="26" max="26" width="13.140625" bestFit="1" customWidth="1"/>
    <col min="27" max="27" width="16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3" hidden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5"/>
      <c r="O1" s="5"/>
      <c r="P1" s="5"/>
      <c r="Q1" s="5"/>
      <c r="R1" s="5"/>
      <c r="S1" s="5"/>
      <c r="T1" s="5"/>
      <c r="U1" s="5"/>
      <c r="V1" s="4"/>
      <c r="W1" s="4"/>
      <c r="X1" s="4"/>
      <c r="Y1" s="4"/>
      <c r="Z1" s="4"/>
      <c r="AA1" s="4"/>
      <c r="AB1" s="4"/>
      <c r="AC1" s="4"/>
    </row>
    <row r="2" spans="1:30" ht="21" x14ac:dyDescent="0.35">
      <c r="A2" s="5"/>
      <c r="B2" s="7" t="s">
        <v>99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5"/>
      <c r="R2" s="5"/>
      <c r="S2" s="5"/>
      <c r="T2" s="5"/>
      <c r="U2" s="5"/>
      <c r="V2" s="4"/>
      <c r="W2" s="4"/>
      <c r="X2" s="4"/>
      <c r="Y2" s="4"/>
      <c r="Z2" s="4"/>
      <c r="AA2" s="4"/>
      <c r="AB2" s="4"/>
      <c r="AC2" s="4"/>
    </row>
    <row r="3" spans="1:30" ht="7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  <c r="Q3" s="5"/>
      <c r="R3" s="5"/>
      <c r="S3" s="5"/>
      <c r="T3" s="5"/>
      <c r="U3" s="5"/>
      <c r="V3" s="4"/>
      <c r="W3" s="4"/>
      <c r="X3" s="4"/>
      <c r="Y3" s="4"/>
      <c r="Z3" s="4"/>
      <c r="AA3" s="4"/>
      <c r="AB3" s="4"/>
      <c r="AC3" s="4"/>
    </row>
    <row r="4" spans="1:30" ht="21" x14ac:dyDescent="0.35">
      <c r="A4" s="5"/>
      <c r="B4" s="5" t="s">
        <v>43</v>
      </c>
      <c r="C4" s="5"/>
      <c r="D4" s="408" t="s">
        <v>149</v>
      </c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"/>
      <c r="W4" s="4"/>
      <c r="X4" s="4"/>
      <c r="Y4" s="4"/>
      <c r="Z4" s="4"/>
      <c r="AA4" s="4"/>
      <c r="AB4" s="4"/>
      <c r="AC4" s="4"/>
    </row>
    <row r="5" spans="1:30" ht="3.75" customHeight="1" x14ac:dyDescent="0.25">
      <c r="A5" s="5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360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30" x14ac:dyDescent="0.25">
      <c r="A6" s="5"/>
      <c r="B6" s="5" t="s">
        <v>44</v>
      </c>
      <c r="C6" s="5"/>
      <c r="D6" s="361">
        <v>379719</v>
      </c>
      <c r="E6" s="4"/>
      <c r="F6" s="4"/>
      <c r="G6" s="4"/>
      <c r="H6" s="4"/>
      <c r="I6" s="4"/>
      <c r="J6" s="4"/>
      <c r="K6" s="4"/>
      <c r="L6" s="4"/>
      <c r="M6" s="360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0" ht="3.75" customHeight="1" x14ac:dyDescent="0.25">
      <c r="A7" s="5"/>
      <c r="B7" s="5"/>
      <c r="C7" s="5"/>
      <c r="D7" s="362"/>
      <c r="E7" s="4"/>
      <c r="F7" s="4"/>
      <c r="G7" s="4"/>
      <c r="H7" s="4"/>
      <c r="I7" s="4"/>
      <c r="J7" s="4"/>
      <c r="K7" s="4"/>
      <c r="L7" s="4"/>
      <c r="M7" s="360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30" x14ac:dyDescent="0.25">
      <c r="A8" s="5"/>
      <c r="B8" s="5" t="s">
        <v>45</v>
      </c>
      <c r="C8" s="5"/>
      <c r="D8" s="365" t="s">
        <v>150</v>
      </c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  <c r="S8" s="365"/>
      <c r="T8" s="365"/>
      <c r="U8" s="365"/>
      <c r="V8" s="365"/>
      <c r="W8" s="4"/>
      <c r="X8" s="4"/>
      <c r="Y8" s="4"/>
      <c r="Z8" s="4"/>
      <c r="AA8" s="4"/>
      <c r="AB8" s="4"/>
      <c r="AC8" s="4"/>
    </row>
    <row r="9" spans="1:30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5"/>
      <c r="O9" s="5"/>
      <c r="P9" s="5"/>
      <c r="Q9" s="5"/>
      <c r="R9" s="5"/>
      <c r="S9" s="5"/>
      <c r="T9" s="5"/>
      <c r="U9" s="5"/>
      <c r="V9" s="4"/>
      <c r="W9" s="4"/>
      <c r="X9" s="4"/>
      <c r="Y9" s="4"/>
      <c r="Z9" s="4"/>
      <c r="AA9" s="4"/>
      <c r="AB9" s="4"/>
      <c r="AC9" s="4"/>
    </row>
    <row r="10" spans="1:30" ht="29.25" customHeight="1" thickBot="1" x14ac:dyDescent="0.3">
      <c r="A10" s="5"/>
      <c r="B10" s="391" t="s">
        <v>37</v>
      </c>
      <c r="C10" s="412" t="s">
        <v>38</v>
      </c>
      <c r="D10" s="366" t="s">
        <v>100</v>
      </c>
      <c r="E10" s="367"/>
      <c r="F10" s="367"/>
      <c r="G10" s="367"/>
      <c r="H10" s="367"/>
      <c r="I10" s="368"/>
      <c r="J10" s="366" t="s">
        <v>101</v>
      </c>
      <c r="K10" s="367"/>
      <c r="L10" s="367"/>
      <c r="M10" s="367"/>
      <c r="N10" s="367"/>
      <c r="O10" s="368"/>
      <c r="P10" s="366" t="s">
        <v>102</v>
      </c>
      <c r="Q10" s="367"/>
      <c r="R10" s="367"/>
      <c r="S10" s="367"/>
      <c r="T10" s="367"/>
      <c r="U10" s="368"/>
      <c r="V10" s="366" t="s">
        <v>103</v>
      </c>
      <c r="W10" s="367"/>
      <c r="X10" s="367"/>
      <c r="Y10" s="367"/>
      <c r="Z10" s="367"/>
      <c r="AA10" s="368"/>
      <c r="AB10" s="419" t="s">
        <v>104</v>
      </c>
      <c r="AC10" s="4"/>
      <c r="AD10" s="4"/>
    </row>
    <row r="11" spans="1:30" ht="30.75" customHeight="1" thickBot="1" x14ac:dyDescent="0.3">
      <c r="A11" s="5"/>
      <c r="B11" s="392"/>
      <c r="C11" s="413"/>
      <c r="D11" s="369" t="s">
        <v>39</v>
      </c>
      <c r="E11" s="370"/>
      <c r="F11" s="370"/>
      <c r="G11" s="371"/>
      <c r="H11" s="8" t="s">
        <v>40</v>
      </c>
      <c r="I11" s="8" t="s">
        <v>61</v>
      </c>
      <c r="J11" s="369" t="s">
        <v>39</v>
      </c>
      <c r="K11" s="370"/>
      <c r="L11" s="370"/>
      <c r="M11" s="371"/>
      <c r="N11" s="8" t="s">
        <v>40</v>
      </c>
      <c r="O11" s="8" t="s">
        <v>61</v>
      </c>
      <c r="P11" s="369" t="s">
        <v>39</v>
      </c>
      <c r="Q11" s="370"/>
      <c r="R11" s="370"/>
      <c r="S11" s="371"/>
      <c r="T11" s="8" t="s">
        <v>40</v>
      </c>
      <c r="U11" s="8" t="s">
        <v>61</v>
      </c>
      <c r="V11" s="369" t="s">
        <v>39</v>
      </c>
      <c r="W11" s="370"/>
      <c r="X11" s="370"/>
      <c r="Y11" s="371"/>
      <c r="Z11" s="8" t="s">
        <v>40</v>
      </c>
      <c r="AA11" s="8" t="s">
        <v>61</v>
      </c>
      <c r="AB11" s="420"/>
      <c r="AC11" s="4"/>
      <c r="AD11" s="4"/>
    </row>
    <row r="12" spans="1:30" ht="15.75" customHeight="1" thickBot="1" x14ac:dyDescent="0.3">
      <c r="A12" s="5"/>
      <c r="B12" s="392"/>
      <c r="C12" s="414"/>
      <c r="D12" s="372" t="s">
        <v>62</v>
      </c>
      <c r="E12" s="373"/>
      <c r="F12" s="373"/>
      <c r="G12" s="373"/>
      <c r="H12" s="373"/>
      <c r="I12" s="374"/>
      <c r="J12" s="372" t="s">
        <v>62</v>
      </c>
      <c r="K12" s="373"/>
      <c r="L12" s="373"/>
      <c r="M12" s="373"/>
      <c r="N12" s="373"/>
      <c r="O12" s="374"/>
      <c r="P12" s="372" t="s">
        <v>62</v>
      </c>
      <c r="Q12" s="373"/>
      <c r="R12" s="373"/>
      <c r="S12" s="373"/>
      <c r="T12" s="373"/>
      <c r="U12" s="374"/>
      <c r="V12" s="372" t="s">
        <v>62</v>
      </c>
      <c r="W12" s="373"/>
      <c r="X12" s="373"/>
      <c r="Y12" s="373"/>
      <c r="Z12" s="373"/>
      <c r="AA12" s="374"/>
      <c r="AB12" s="420"/>
      <c r="AC12" s="4"/>
      <c r="AD12" s="4"/>
    </row>
    <row r="13" spans="1:30" ht="15.75" customHeight="1" thickBot="1" x14ac:dyDescent="0.3">
      <c r="A13" s="5"/>
      <c r="B13" s="393"/>
      <c r="C13" s="415"/>
      <c r="D13" s="375" t="s">
        <v>57</v>
      </c>
      <c r="E13" s="376"/>
      <c r="F13" s="376"/>
      <c r="G13" s="377" t="s">
        <v>63</v>
      </c>
      <c r="H13" s="379" t="s">
        <v>66</v>
      </c>
      <c r="I13" s="381" t="s">
        <v>62</v>
      </c>
      <c r="J13" s="375" t="s">
        <v>57</v>
      </c>
      <c r="K13" s="376"/>
      <c r="L13" s="376"/>
      <c r="M13" s="377" t="s">
        <v>63</v>
      </c>
      <c r="N13" s="379" t="s">
        <v>66</v>
      </c>
      <c r="O13" s="381" t="s">
        <v>62</v>
      </c>
      <c r="P13" s="375" t="s">
        <v>57</v>
      </c>
      <c r="Q13" s="376"/>
      <c r="R13" s="376"/>
      <c r="S13" s="377" t="s">
        <v>63</v>
      </c>
      <c r="T13" s="379" t="s">
        <v>66</v>
      </c>
      <c r="U13" s="381" t="s">
        <v>62</v>
      </c>
      <c r="V13" s="375" t="s">
        <v>57</v>
      </c>
      <c r="W13" s="376"/>
      <c r="X13" s="376"/>
      <c r="Y13" s="377" t="s">
        <v>63</v>
      </c>
      <c r="Z13" s="379" t="s">
        <v>66</v>
      </c>
      <c r="AA13" s="381" t="s">
        <v>62</v>
      </c>
      <c r="AB13" s="420"/>
      <c r="AC13" s="4"/>
      <c r="AD13" s="4"/>
    </row>
    <row r="14" spans="1:30" ht="15.75" thickBot="1" x14ac:dyDescent="0.3">
      <c r="A14" s="5"/>
      <c r="B14" s="9"/>
      <c r="C14" s="10"/>
      <c r="D14" s="137" t="s">
        <v>58</v>
      </c>
      <c r="E14" s="138" t="s">
        <v>90</v>
      </c>
      <c r="F14" s="138" t="s">
        <v>59</v>
      </c>
      <c r="G14" s="378"/>
      <c r="H14" s="380"/>
      <c r="I14" s="382"/>
      <c r="J14" s="137" t="s">
        <v>58</v>
      </c>
      <c r="K14" s="138" t="s">
        <v>90</v>
      </c>
      <c r="L14" s="138" t="s">
        <v>59</v>
      </c>
      <c r="M14" s="378"/>
      <c r="N14" s="380"/>
      <c r="O14" s="382"/>
      <c r="P14" s="137" t="s">
        <v>58</v>
      </c>
      <c r="Q14" s="138" t="s">
        <v>90</v>
      </c>
      <c r="R14" s="138" t="s">
        <v>59</v>
      </c>
      <c r="S14" s="378"/>
      <c r="T14" s="380"/>
      <c r="U14" s="382"/>
      <c r="V14" s="137" t="s">
        <v>58</v>
      </c>
      <c r="W14" s="138" t="s">
        <v>90</v>
      </c>
      <c r="X14" s="138" t="s">
        <v>59</v>
      </c>
      <c r="Y14" s="378"/>
      <c r="Z14" s="380"/>
      <c r="AA14" s="382"/>
      <c r="AB14" s="421"/>
      <c r="AC14" s="4"/>
      <c r="AD14" s="4"/>
    </row>
    <row r="15" spans="1:30" x14ac:dyDescent="0.25">
      <c r="A15" s="5"/>
      <c r="B15" s="34" t="s">
        <v>0</v>
      </c>
      <c r="C15" s="123" t="s">
        <v>52</v>
      </c>
      <c r="D15" s="11"/>
      <c r="E15" s="12"/>
      <c r="F15" s="55">
        <v>24772245.440000001</v>
      </c>
      <c r="G15" s="62">
        <f>SUM(D15:F15)</f>
        <v>24772245.440000001</v>
      </c>
      <c r="H15" s="65">
        <v>4690648.4099999992</v>
      </c>
      <c r="I15" s="13">
        <f>G15+H15</f>
        <v>29462893.850000001</v>
      </c>
      <c r="J15" s="156"/>
      <c r="K15" s="157"/>
      <c r="L15" s="158">
        <v>24800000</v>
      </c>
      <c r="M15" s="62">
        <f t="shared" ref="M15:M23" si="0">SUM(J15:L15)</f>
        <v>24800000</v>
      </c>
      <c r="N15" s="168">
        <v>3900000</v>
      </c>
      <c r="O15" s="13">
        <f>M15+N15</f>
        <v>28700000</v>
      </c>
      <c r="P15" s="11"/>
      <c r="Q15" s="12"/>
      <c r="R15" s="55">
        <v>6828797.25</v>
      </c>
      <c r="S15" s="62">
        <f>SUM(P15:R15)</f>
        <v>6828797.25</v>
      </c>
      <c r="T15" s="65">
        <v>2065568.99</v>
      </c>
      <c r="U15" s="13">
        <f>S15+T15</f>
        <v>8894366.2400000002</v>
      </c>
      <c r="V15" s="11"/>
      <c r="W15" s="12"/>
      <c r="X15" s="55">
        <v>29070000</v>
      </c>
      <c r="Y15" s="62">
        <f>SUM(V15:X15)</f>
        <v>29070000</v>
      </c>
      <c r="Z15" s="65">
        <v>4950000</v>
      </c>
      <c r="AA15" s="13">
        <f>Y15+Z15</f>
        <v>34020000</v>
      </c>
      <c r="AB15" s="143">
        <f>(AA15/O15)</f>
        <v>1.1853658536585365</v>
      </c>
      <c r="AC15" s="4"/>
      <c r="AD15" s="4"/>
    </row>
    <row r="16" spans="1:30" x14ac:dyDescent="0.25">
      <c r="A16" s="5"/>
      <c r="B16" s="14" t="s">
        <v>1</v>
      </c>
      <c r="C16" s="124" t="s">
        <v>60</v>
      </c>
      <c r="D16" s="56">
        <v>43013800</v>
      </c>
      <c r="E16" s="15"/>
      <c r="F16" s="15"/>
      <c r="G16" s="63">
        <f t="shared" ref="G16:G23" si="1">SUM(D16:F16)</f>
        <v>43013800</v>
      </c>
      <c r="H16" s="66"/>
      <c r="I16" s="13">
        <f t="shared" ref="I16:I23" si="2">G16+H16</f>
        <v>43013800</v>
      </c>
      <c r="J16" s="159">
        <f>42000000</f>
        <v>42000000</v>
      </c>
      <c r="K16" s="160"/>
      <c r="L16" s="160"/>
      <c r="M16" s="63">
        <f t="shared" si="0"/>
        <v>42000000</v>
      </c>
      <c r="N16" s="66"/>
      <c r="O16" s="13">
        <f t="shared" ref="O16:O20" si="3">M16+N16</f>
        <v>42000000</v>
      </c>
      <c r="P16" s="56">
        <v>21000000</v>
      </c>
      <c r="Q16" s="15"/>
      <c r="R16" s="15"/>
      <c r="S16" s="63">
        <f t="shared" ref="S16:S23" si="4">SUM(P16:R16)</f>
        <v>21000000</v>
      </c>
      <c r="T16" s="66"/>
      <c r="U16" s="13">
        <f t="shared" ref="U16:U20" si="5">S16+T16</f>
        <v>21000000</v>
      </c>
      <c r="V16" s="56">
        <v>46000000</v>
      </c>
      <c r="W16" s="15"/>
      <c r="X16" s="15"/>
      <c r="Y16" s="63">
        <f t="shared" ref="Y16:Y23" si="6">SUM(V16:X16)</f>
        <v>46000000</v>
      </c>
      <c r="Z16" s="66">
        <v>0</v>
      </c>
      <c r="AA16" s="13">
        <f t="shared" ref="AA16:AA20" si="7">Y16+Z16</f>
        <v>46000000</v>
      </c>
      <c r="AB16" s="143">
        <f t="shared" ref="AB16:AB24" si="8">(AA16/O16)</f>
        <v>1.0952380952380953</v>
      </c>
      <c r="AC16" s="4"/>
      <c r="AD16" s="4"/>
    </row>
    <row r="17" spans="1:30" x14ac:dyDescent="0.25">
      <c r="A17" s="5"/>
      <c r="B17" s="14" t="s">
        <v>3</v>
      </c>
      <c r="C17" s="125" t="s">
        <v>79</v>
      </c>
      <c r="D17" s="57"/>
      <c r="E17" s="16"/>
      <c r="F17" s="16"/>
      <c r="G17" s="63">
        <f t="shared" si="1"/>
        <v>0</v>
      </c>
      <c r="H17" s="67"/>
      <c r="I17" s="13">
        <f t="shared" si="2"/>
        <v>0</v>
      </c>
      <c r="J17" s="57"/>
      <c r="K17" s="161"/>
      <c r="L17" s="161"/>
      <c r="M17" s="63">
        <f t="shared" si="0"/>
        <v>0</v>
      </c>
      <c r="N17" s="67"/>
      <c r="O17" s="13">
        <f t="shared" si="3"/>
        <v>0</v>
      </c>
      <c r="P17" s="57"/>
      <c r="Q17" s="16"/>
      <c r="R17" s="16"/>
      <c r="S17" s="63">
        <f t="shared" si="4"/>
        <v>0</v>
      </c>
      <c r="T17" s="67"/>
      <c r="U17" s="13">
        <f t="shared" si="5"/>
        <v>0</v>
      </c>
      <c r="V17" s="57"/>
      <c r="W17" s="16"/>
      <c r="X17" s="16"/>
      <c r="Y17" s="63">
        <f t="shared" si="6"/>
        <v>0</v>
      </c>
      <c r="Z17" s="67">
        <v>0</v>
      </c>
      <c r="AA17" s="13">
        <f t="shared" si="7"/>
        <v>0</v>
      </c>
      <c r="AB17" s="143" t="e">
        <f t="shared" si="8"/>
        <v>#DIV/0!</v>
      </c>
      <c r="AC17" s="4"/>
      <c r="AD17" s="4"/>
    </row>
    <row r="18" spans="1:30" x14ac:dyDescent="0.25">
      <c r="A18" s="5"/>
      <c r="B18" s="14" t="s">
        <v>5</v>
      </c>
      <c r="C18" s="126" t="s">
        <v>53</v>
      </c>
      <c r="D18" s="17"/>
      <c r="E18" s="58">
        <v>1532193.3</v>
      </c>
      <c r="F18" s="16"/>
      <c r="G18" s="63">
        <f t="shared" si="1"/>
        <v>1532193.3</v>
      </c>
      <c r="H18" s="65"/>
      <c r="I18" s="13">
        <f t="shared" si="2"/>
        <v>1532193.3</v>
      </c>
      <c r="J18" s="162"/>
      <c r="K18" s="59">
        <v>1400000</v>
      </c>
      <c r="L18" s="161"/>
      <c r="M18" s="63">
        <f t="shared" si="0"/>
        <v>1400000</v>
      </c>
      <c r="N18" s="65"/>
      <c r="O18" s="13">
        <f t="shared" si="3"/>
        <v>1400000</v>
      </c>
      <c r="P18" s="17"/>
      <c r="Q18" s="58">
        <v>1243268.47</v>
      </c>
      <c r="R18" s="16"/>
      <c r="S18" s="63">
        <f t="shared" si="4"/>
        <v>1243268.47</v>
      </c>
      <c r="T18" s="65"/>
      <c r="U18" s="13">
        <f t="shared" si="5"/>
        <v>1243268.47</v>
      </c>
      <c r="V18" s="17"/>
      <c r="W18" s="58">
        <v>1200000</v>
      </c>
      <c r="X18" s="16"/>
      <c r="Y18" s="63">
        <f t="shared" si="6"/>
        <v>1200000</v>
      </c>
      <c r="Z18" s="65">
        <v>0</v>
      </c>
      <c r="AA18" s="13">
        <f t="shared" si="7"/>
        <v>1200000</v>
      </c>
      <c r="AB18" s="143">
        <f t="shared" si="8"/>
        <v>0.8571428571428571</v>
      </c>
      <c r="AC18" s="4"/>
      <c r="AD18" s="4"/>
    </row>
    <row r="19" spans="1:30" x14ac:dyDescent="0.25">
      <c r="A19" s="5"/>
      <c r="B19" s="14" t="s">
        <v>7</v>
      </c>
      <c r="C19" s="39" t="s">
        <v>46</v>
      </c>
      <c r="D19" s="18"/>
      <c r="E19" s="16"/>
      <c r="F19" s="59">
        <v>1295250.6399999999</v>
      </c>
      <c r="G19" s="63">
        <f t="shared" si="1"/>
        <v>1295250.6399999999</v>
      </c>
      <c r="H19" s="68"/>
      <c r="I19" s="13">
        <f t="shared" si="2"/>
        <v>1295250.6399999999</v>
      </c>
      <c r="J19" s="163"/>
      <c r="K19" s="161"/>
      <c r="L19" s="59">
        <v>1000000</v>
      </c>
      <c r="M19" s="63">
        <f t="shared" si="0"/>
        <v>1000000</v>
      </c>
      <c r="N19" s="68"/>
      <c r="O19" s="13">
        <f t="shared" si="3"/>
        <v>1000000</v>
      </c>
      <c r="P19" s="18"/>
      <c r="Q19" s="16"/>
      <c r="R19" s="59">
        <v>647625.31999999995</v>
      </c>
      <c r="S19" s="63">
        <f t="shared" si="4"/>
        <v>647625.31999999995</v>
      </c>
      <c r="T19" s="68"/>
      <c r="U19" s="13">
        <f t="shared" si="5"/>
        <v>647625.31999999995</v>
      </c>
      <c r="V19" s="18"/>
      <c r="W19" s="16"/>
      <c r="X19" s="59">
        <v>1400000</v>
      </c>
      <c r="Y19" s="63">
        <f t="shared" si="6"/>
        <v>1400000</v>
      </c>
      <c r="Z19" s="68">
        <v>0</v>
      </c>
      <c r="AA19" s="13">
        <f t="shared" si="7"/>
        <v>1400000</v>
      </c>
      <c r="AB19" s="143">
        <f t="shared" si="8"/>
        <v>1.4</v>
      </c>
      <c r="AC19" s="4"/>
      <c r="AD19" s="4"/>
    </row>
    <row r="20" spans="1:30" x14ac:dyDescent="0.25">
      <c r="A20" s="5"/>
      <c r="B20" s="14" t="s">
        <v>9</v>
      </c>
      <c r="C20" s="127" t="s">
        <v>47</v>
      </c>
      <c r="D20" s="17"/>
      <c r="E20" s="15"/>
      <c r="F20" s="60"/>
      <c r="G20" s="63"/>
      <c r="H20" s="68"/>
      <c r="I20" s="13">
        <f t="shared" si="2"/>
        <v>0</v>
      </c>
      <c r="J20" s="162"/>
      <c r="K20" s="160"/>
      <c r="L20" s="164">
        <v>0</v>
      </c>
      <c r="M20" s="63">
        <f t="shared" si="0"/>
        <v>0</v>
      </c>
      <c r="N20" s="68"/>
      <c r="O20" s="13">
        <f t="shared" si="3"/>
        <v>0</v>
      </c>
      <c r="P20" s="17"/>
      <c r="Q20" s="15"/>
      <c r="R20" s="60"/>
      <c r="S20" s="63">
        <f t="shared" si="4"/>
        <v>0</v>
      </c>
      <c r="T20" s="68"/>
      <c r="U20" s="13">
        <f t="shared" si="5"/>
        <v>0</v>
      </c>
      <c r="V20" s="17"/>
      <c r="W20" s="15"/>
      <c r="X20" s="60">
        <v>1500000</v>
      </c>
      <c r="Y20" s="63">
        <f t="shared" si="6"/>
        <v>1500000</v>
      </c>
      <c r="Z20" s="68">
        <v>0</v>
      </c>
      <c r="AA20" s="13">
        <f t="shared" si="7"/>
        <v>1500000</v>
      </c>
      <c r="AB20" s="143" t="e">
        <f t="shared" si="8"/>
        <v>#DIV/0!</v>
      </c>
      <c r="AC20" s="4"/>
      <c r="AD20" s="4"/>
    </row>
    <row r="21" spans="1:30" x14ac:dyDescent="0.25">
      <c r="A21" s="5"/>
      <c r="B21" s="14" t="s">
        <v>11</v>
      </c>
      <c r="C21" s="38" t="s">
        <v>2</v>
      </c>
      <c r="D21" s="17"/>
      <c r="E21" s="15"/>
      <c r="F21" s="60">
        <v>2167275.79</v>
      </c>
      <c r="G21" s="63">
        <f t="shared" si="1"/>
        <v>2167275.79</v>
      </c>
      <c r="H21" s="69">
        <v>234.1</v>
      </c>
      <c r="I21" s="13">
        <f>G21+H21</f>
        <v>2167509.89</v>
      </c>
      <c r="J21" s="162"/>
      <c r="K21" s="160"/>
      <c r="L21" s="164">
        <v>2200000</v>
      </c>
      <c r="M21" s="63">
        <f t="shared" si="0"/>
        <v>2200000</v>
      </c>
      <c r="N21" s="69"/>
      <c r="O21" s="13">
        <f>M21+N21</f>
        <v>2200000</v>
      </c>
      <c r="P21" s="17"/>
      <c r="Q21" s="15"/>
      <c r="R21" s="60">
        <v>684395.38999999978</v>
      </c>
      <c r="S21" s="63">
        <f t="shared" si="4"/>
        <v>684395.38999999978</v>
      </c>
      <c r="T21" s="69">
        <v>193423.50999999998</v>
      </c>
      <c r="U21" s="13">
        <f>S21+T21</f>
        <v>877818.89999999979</v>
      </c>
      <c r="V21" s="17"/>
      <c r="W21" s="15"/>
      <c r="X21" s="60">
        <v>1930000</v>
      </c>
      <c r="Y21" s="63">
        <f t="shared" si="6"/>
        <v>1930000</v>
      </c>
      <c r="Z21" s="69">
        <v>50000</v>
      </c>
      <c r="AA21" s="13">
        <f>Y21+Z21</f>
        <v>1980000</v>
      </c>
      <c r="AB21" s="143">
        <f t="shared" si="8"/>
        <v>0.9</v>
      </c>
      <c r="AC21" s="4"/>
      <c r="AD21" s="4"/>
    </row>
    <row r="22" spans="1:30" x14ac:dyDescent="0.25">
      <c r="A22" s="5"/>
      <c r="B22" s="14" t="s">
        <v>13</v>
      </c>
      <c r="C22" s="38" t="s">
        <v>4</v>
      </c>
      <c r="D22" s="17"/>
      <c r="E22" s="15"/>
      <c r="F22" s="60"/>
      <c r="G22" s="63">
        <f t="shared" si="1"/>
        <v>0</v>
      </c>
      <c r="H22" s="69"/>
      <c r="I22" s="13">
        <f t="shared" si="2"/>
        <v>0</v>
      </c>
      <c r="J22" s="162"/>
      <c r="K22" s="160"/>
      <c r="L22" s="164"/>
      <c r="M22" s="63">
        <f t="shared" si="0"/>
        <v>0</v>
      </c>
      <c r="N22" s="69"/>
      <c r="O22" s="13">
        <f t="shared" ref="O22:O23" si="9">M22+N22</f>
        <v>0</v>
      </c>
      <c r="P22" s="17"/>
      <c r="Q22" s="15"/>
      <c r="R22" s="60"/>
      <c r="S22" s="63">
        <f t="shared" si="4"/>
        <v>0</v>
      </c>
      <c r="T22" s="69"/>
      <c r="U22" s="13">
        <f t="shared" ref="U22:U23" si="10">S22+T22</f>
        <v>0</v>
      </c>
      <c r="V22" s="17"/>
      <c r="W22" s="15"/>
      <c r="X22" s="60"/>
      <c r="Y22" s="63">
        <f t="shared" si="6"/>
        <v>0</v>
      </c>
      <c r="Z22" s="69"/>
      <c r="AA22" s="13">
        <f t="shared" ref="AA22:AA23" si="11">Y22+Z22</f>
        <v>0</v>
      </c>
      <c r="AB22" s="143" t="e">
        <f t="shared" si="8"/>
        <v>#DIV/0!</v>
      </c>
      <c r="AC22" s="4"/>
      <c r="AD22" s="4"/>
    </row>
    <row r="23" spans="1:30" ht="15.75" thickBot="1" x14ac:dyDescent="0.3">
      <c r="A23" s="5"/>
      <c r="B23" s="128" t="s">
        <v>15</v>
      </c>
      <c r="C23" s="129" t="s">
        <v>6</v>
      </c>
      <c r="D23" s="20"/>
      <c r="E23" s="21"/>
      <c r="F23" s="61"/>
      <c r="G23" s="64">
        <f t="shared" si="1"/>
        <v>0</v>
      </c>
      <c r="H23" s="70"/>
      <c r="I23" s="22">
        <f t="shared" si="2"/>
        <v>0</v>
      </c>
      <c r="J23" s="165"/>
      <c r="K23" s="166"/>
      <c r="L23" s="167"/>
      <c r="M23" s="64">
        <f t="shared" si="0"/>
        <v>0</v>
      </c>
      <c r="N23" s="70"/>
      <c r="O23" s="22">
        <f t="shared" si="9"/>
        <v>0</v>
      </c>
      <c r="P23" s="20"/>
      <c r="Q23" s="21"/>
      <c r="R23" s="61"/>
      <c r="S23" s="64">
        <f t="shared" si="4"/>
        <v>0</v>
      </c>
      <c r="T23" s="70"/>
      <c r="U23" s="22">
        <f t="shared" si="10"/>
        <v>0</v>
      </c>
      <c r="V23" s="20"/>
      <c r="W23" s="21"/>
      <c r="X23" s="61"/>
      <c r="Y23" s="64">
        <f t="shared" si="6"/>
        <v>0</v>
      </c>
      <c r="Z23" s="70"/>
      <c r="AA23" s="22">
        <f t="shared" si="11"/>
        <v>0</v>
      </c>
      <c r="AB23" s="146" t="e">
        <f t="shared" si="8"/>
        <v>#DIV/0!</v>
      </c>
      <c r="AC23" s="4"/>
      <c r="AD23" s="4"/>
    </row>
    <row r="24" spans="1:30" ht="15.75" thickBot="1" x14ac:dyDescent="0.3">
      <c r="A24" s="5"/>
      <c r="B24" s="23" t="s">
        <v>17</v>
      </c>
      <c r="C24" s="24" t="s">
        <v>8</v>
      </c>
      <c r="D24" s="25">
        <f>SUM(D15:D21)</f>
        <v>43013800</v>
      </c>
      <c r="E24" s="26">
        <f>SUM(E15:E21)</f>
        <v>1532193.3</v>
      </c>
      <c r="F24" s="26">
        <f>SUM(F15:F21)</f>
        <v>28234771.870000001</v>
      </c>
      <c r="G24" s="27">
        <f>SUM(D24:F24)</f>
        <v>72780765.170000002</v>
      </c>
      <c r="H24" s="28">
        <f>SUM(H15:H21)</f>
        <v>4690882.5099999988</v>
      </c>
      <c r="I24" s="28">
        <f>SUM(I15:I21)</f>
        <v>77471647.679999992</v>
      </c>
      <c r="J24" s="25">
        <f>SUM(J15:J21)</f>
        <v>42000000</v>
      </c>
      <c r="K24" s="26">
        <f>SUM(K15:K21)</f>
        <v>1400000</v>
      </c>
      <c r="L24" s="26">
        <f>SUM(L15:L21)</f>
        <v>28000000</v>
      </c>
      <c r="M24" s="27">
        <f>SUM(J24:L24)</f>
        <v>71400000</v>
      </c>
      <c r="N24" s="28">
        <f>SUM(N15:N21)</f>
        <v>3900000</v>
      </c>
      <c r="O24" s="28">
        <f>SUM(O15:O21)</f>
        <v>75300000</v>
      </c>
      <c r="P24" s="25">
        <f>SUM(P15:P21)</f>
        <v>21000000</v>
      </c>
      <c r="Q24" s="26">
        <f>SUM(Q15:Q21)</f>
        <v>1243268.47</v>
      </c>
      <c r="R24" s="26">
        <f>SUM(R15:R21)</f>
        <v>8160817.96</v>
      </c>
      <c r="S24" s="27">
        <f>SUM(P24:R24)</f>
        <v>30404086.43</v>
      </c>
      <c r="T24" s="28">
        <f>SUM(T15:T21)</f>
        <v>2258992.5</v>
      </c>
      <c r="U24" s="28">
        <f>SUM(U15:U21)</f>
        <v>32663078.93</v>
      </c>
      <c r="V24" s="25">
        <f>SUM(V15:V21)</f>
        <v>46000000</v>
      </c>
      <c r="W24" s="26">
        <f>SUM(W15:W21)</f>
        <v>1200000</v>
      </c>
      <c r="X24" s="26">
        <f>SUM(X15:X21)</f>
        <v>33900000</v>
      </c>
      <c r="Y24" s="27">
        <f>SUM(V24:X24)</f>
        <v>81100000</v>
      </c>
      <c r="Z24" s="28">
        <f>SUM(Z15:Z21)</f>
        <v>5000000</v>
      </c>
      <c r="AA24" s="28">
        <f>SUM(AA15:AA21)</f>
        <v>86100000</v>
      </c>
      <c r="AB24" s="147">
        <f t="shared" si="8"/>
        <v>1.1434262948207172</v>
      </c>
      <c r="AC24" s="4"/>
      <c r="AD24" s="4"/>
    </row>
    <row r="25" spans="1:30" ht="15.75" customHeight="1" thickBot="1" x14ac:dyDescent="0.3">
      <c r="A25" s="5"/>
      <c r="B25" s="29"/>
      <c r="C25" s="30"/>
      <c r="D25" s="383" t="s">
        <v>68</v>
      </c>
      <c r="E25" s="384"/>
      <c r="F25" s="384"/>
      <c r="G25" s="385"/>
      <c r="H25" s="385"/>
      <c r="I25" s="386"/>
      <c r="J25" s="383" t="s">
        <v>68</v>
      </c>
      <c r="K25" s="384"/>
      <c r="L25" s="384"/>
      <c r="M25" s="385"/>
      <c r="N25" s="385"/>
      <c r="O25" s="386"/>
      <c r="P25" s="383" t="s">
        <v>68</v>
      </c>
      <c r="Q25" s="384"/>
      <c r="R25" s="384"/>
      <c r="S25" s="385"/>
      <c r="T25" s="385"/>
      <c r="U25" s="386"/>
      <c r="V25" s="383" t="s">
        <v>68</v>
      </c>
      <c r="W25" s="384"/>
      <c r="X25" s="384"/>
      <c r="Y25" s="385"/>
      <c r="Z25" s="385"/>
      <c r="AA25" s="386"/>
      <c r="AB25" s="416" t="s">
        <v>104</v>
      </c>
      <c r="AC25" s="4"/>
      <c r="AD25" s="4"/>
    </row>
    <row r="26" spans="1:30" ht="15.75" thickBot="1" x14ac:dyDescent="0.3">
      <c r="A26" s="5"/>
      <c r="B26" s="399" t="s">
        <v>37</v>
      </c>
      <c r="C26" s="412" t="s">
        <v>38</v>
      </c>
      <c r="D26" s="387" t="s">
        <v>69</v>
      </c>
      <c r="E26" s="388"/>
      <c r="F26" s="388"/>
      <c r="G26" s="389" t="s">
        <v>64</v>
      </c>
      <c r="H26" s="401" t="s">
        <v>67</v>
      </c>
      <c r="I26" s="403" t="s">
        <v>68</v>
      </c>
      <c r="J26" s="387" t="s">
        <v>69</v>
      </c>
      <c r="K26" s="388"/>
      <c r="L26" s="388"/>
      <c r="M26" s="389" t="s">
        <v>64</v>
      </c>
      <c r="N26" s="401" t="s">
        <v>67</v>
      </c>
      <c r="O26" s="403" t="s">
        <v>68</v>
      </c>
      <c r="P26" s="387" t="s">
        <v>69</v>
      </c>
      <c r="Q26" s="388"/>
      <c r="R26" s="388"/>
      <c r="S26" s="389" t="s">
        <v>64</v>
      </c>
      <c r="T26" s="401" t="s">
        <v>67</v>
      </c>
      <c r="U26" s="403" t="s">
        <v>68</v>
      </c>
      <c r="V26" s="387" t="s">
        <v>69</v>
      </c>
      <c r="W26" s="388"/>
      <c r="X26" s="388"/>
      <c r="Y26" s="389" t="s">
        <v>64</v>
      </c>
      <c r="Z26" s="401" t="s">
        <v>67</v>
      </c>
      <c r="AA26" s="403" t="s">
        <v>68</v>
      </c>
      <c r="AB26" s="417"/>
      <c r="AC26" s="4"/>
      <c r="AD26" s="4"/>
    </row>
    <row r="27" spans="1:30" ht="15.75" thickBot="1" x14ac:dyDescent="0.3">
      <c r="A27" s="5"/>
      <c r="B27" s="400"/>
      <c r="C27" s="413"/>
      <c r="D27" s="31" t="s">
        <v>54</v>
      </c>
      <c r="E27" s="32" t="s">
        <v>55</v>
      </c>
      <c r="F27" s="33" t="s">
        <v>56</v>
      </c>
      <c r="G27" s="390"/>
      <c r="H27" s="402"/>
      <c r="I27" s="404"/>
      <c r="J27" s="31" t="s">
        <v>54</v>
      </c>
      <c r="K27" s="32" t="s">
        <v>55</v>
      </c>
      <c r="L27" s="33" t="s">
        <v>56</v>
      </c>
      <c r="M27" s="390"/>
      <c r="N27" s="402"/>
      <c r="O27" s="404"/>
      <c r="P27" s="31" t="s">
        <v>54</v>
      </c>
      <c r="Q27" s="32" t="s">
        <v>55</v>
      </c>
      <c r="R27" s="33" t="s">
        <v>56</v>
      </c>
      <c r="S27" s="390"/>
      <c r="T27" s="402"/>
      <c r="U27" s="404"/>
      <c r="V27" s="31" t="s">
        <v>54</v>
      </c>
      <c r="W27" s="32" t="s">
        <v>55</v>
      </c>
      <c r="X27" s="33" t="s">
        <v>56</v>
      </c>
      <c r="Y27" s="390"/>
      <c r="Z27" s="402"/>
      <c r="AA27" s="404"/>
      <c r="AB27" s="418"/>
      <c r="AC27" s="4"/>
      <c r="AD27" s="4"/>
    </row>
    <row r="28" spans="1:30" x14ac:dyDescent="0.25">
      <c r="A28" s="5"/>
      <c r="B28" s="34" t="s">
        <v>19</v>
      </c>
      <c r="C28" s="35" t="s">
        <v>10</v>
      </c>
      <c r="D28" s="172">
        <f>4757316.5-E28-F28</f>
        <v>2949063.2</v>
      </c>
      <c r="E28" s="172"/>
      <c r="F28" s="172">
        <v>1808253.3</v>
      </c>
      <c r="G28" s="173">
        <f>SUM(D28:F28)</f>
        <v>4757316.5</v>
      </c>
      <c r="H28" s="173">
        <v>136601.28</v>
      </c>
      <c r="I28" s="174">
        <f>G28+H28</f>
        <v>4893917.78</v>
      </c>
      <c r="J28" s="79">
        <v>2000000</v>
      </c>
      <c r="K28" s="71"/>
      <c r="L28" s="71">
        <v>2000000</v>
      </c>
      <c r="M28" s="72">
        <f>SUM(J28:L28)</f>
        <v>4000000</v>
      </c>
      <c r="N28" s="72">
        <v>50000</v>
      </c>
      <c r="O28" s="36">
        <f>M28+N28</f>
        <v>4050000</v>
      </c>
      <c r="P28" s="79">
        <v>398948.55499999999</v>
      </c>
      <c r="Q28" s="71"/>
      <c r="R28" s="71">
        <v>398948.55499999999</v>
      </c>
      <c r="S28" s="72">
        <f>SUM(P28:R28)</f>
        <v>797897.11</v>
      </c>
      <c r="T28" s="72">
        <v>28154.25</v>
      </c>
      <c r="U28" s="36">
        <f>S28+T28</f>
        <v>826051.36</v>
      </c>
      <c r="V28" s="79">
        <v>3068800.0000000005</v>
      </c>
      <c r="W28" s="71"/>
      <c r="X28" s="71">
        <v>2411199.9999999995</v>
      </c>
      <c r="Y28" s="72">
        <f>SUM(V28:X28)</f>
        <v>5480000</v>
      </c>
      <c r="Z28" s="72">
        <v>100000</v>
      </c>
      <c r="AA28" s="36">
        <f>Y28+Z28</f>
        <v>5580000</v>
      </c>
      <c r="AB28" s="143">
        <f t="shared" ref="AB28:AB41" si="12">(AA28/O28)</f>
        <v>1.3777777777777778</v>
      </c>
      <c r="AC28" s="4"/>
      <c r="AD28" s="4"/>
    </row>
    <row r="29" spans="1:30" x14ac:dyDescent="0.25">
      <c r="A29" s="5"/>
      <c r="B29" s="14" t="s">
        <v>20</v>
      </c>
      <c r="C29" s="37" t="s">
        <v>12</v>
      </c>
      <c r="D29" s="175">
        <f>8802054.1-E29-F29</f>
        <v>8138146.0999999996</v>
      </c>
      <c r="E29" s="179">
        <v>663908</v>
      </c>
      <c r="F29" s="175">
        <v>0</v>
      </c>
      <c r="G29" s="176">
        <f t="shared" ref="G29:G38" si="13">SUM(D29:F29)</f>
        <v>8802054.0999999996</v>
      </c>
      <c r="H29" s="177">
        <v>322130.24</v>
      </c>
      <c r="I29" s="178">
        <f t="shared" ref="I29:I38" si="14">G29+H29</f>
        <v>9124184.3399999999</v>
      </c>
      <c r="J29" s="80">
        <v>4700000</v>
      </c>
      <c r="K29" s="73">
        <v>800000</v>
      </c>
      <c r="L29" s="73">
        <v>2300000</v>
      </c>
      <c r="M29" s="74">
        <f t="shared" ref="M29:M38" si="15">SUM(J29:L29)</f>
        <v>7800000</v>
      </c>
      <c r="N29" s="75">
        <v>1100000</v>
      </c>
      <c r="O29" s="13">
        <f t="shared" ref="O29:O38" si="16">M29+N29</f>
        <v>8900000</v>
      </c>
      <c r="P29" s="80">
        <v>2601951.6526923073</v>
      </c>
      <c r="Q29" s="73">
        <v>765630</v>
      </c>
      <c r="R29" s="73">
        <v>950550.87730769208</v>
      </c>
      <c r="S29" s="74">
        <f t="shared" ref="S29:S38" si="17">SUM(P29:R29)</f>
        <v>4318132.5299999993</v>
      </c>
      <c r="T29" s="75">
        <v>129506.04999999999</v>
      </c>
      <c r="U29" s="13">
        <f t="shared" ref="U29:U38" si="18">S29+T29</f>
        <v>4447638.5799999991</v>
      </c>
      <c r="V29" s="80">
        <f>4597600-W29+250000</f>
        <v>4183692</v>
      </c>
      <c r="W29" s="73">
        <v>663908</v>
      </c>
      <c r="X29" s="73">
        <v>3612400</v>
      </c>
      <c r="Y29" s="74">
        <f t="shared" ref="Y29:Y38" si="19">SUM(V29:X29)</f>
        <v>8460000</v>
      </c>
      <c r="Z29" s="75">
        <v>850000</v>
      </c>
      <c r="AA29" s="13">
        <f t="shared" ref="AA29:AA38" si="20">Y29+Z29</f>
        <v>9310000</v>
      </c>
      <c r="AB29" s="143">
        <f t="shared" si="12"/>
        <v>1.0460674157303371</v>
      </c>
      <c r="AC29" s="4"/>
      <c r="AD29" s="4"/>
    </row>
    <row r="30" spans="1:30" x14ac:dyDescent="0.25">
      <c r="A30" s="5"/>
      <c r="B30" s="14" t="s">
        <v>22</v>
      </c>
      <c r="C30" s="38" t="s">
        <v>14</v>
      </c>
      <c r="D30" s="179">
        <f>3613070.92-E30-F30</f>
        <v>3613070.92</v>
      </c>
      <c r="E30" s="179">
        <v>0</v>
      </c>
      <c r="F30" s="179">
        <v>0</v>
      </c>
      <c r="G30" s="176">
        <f t="shared" si="13"/>
        <v>3613070.92</v>
      </c>
      <c r="H30" s="176">
        <v>0</v>
      </c>
      <c r="I30" s="178">
        <f t="shared" si="14"/>
        <v>3613070.92</v>
      </c>
      <c r="J30" s="81">
        <v>2000000</v>
      </c>
      <c r="K30" s="76"/>
      <c r="L30" s="76">
        <v>1800000</v>
      </c>
      <c r="M30" s="74">
        <f t="shared" si="15"/>
        <v>3800000</v>
      </c>
      <c r="N30" s="74">
        <v>0</v>
      </c>
      <c r="O30" s="13">
        <f t="shared" si="16"/>
        <v>3800000</v>
      </c>
      <c r="P30" s="81">
        <v>1060299.6157894735</v>
      </c>
      <c r="Q30" s="76"/>
      <c r="R30" s="76">
        <v>954269.6542105265</v>
      </c>
      <c r="S30" s="74">
        <f t="shared" si="17"/>
        <v>2014569.27</v>
      </c>
      <c r="T30" s="74">
        <v>0</v>
      </c>
      <c r="U30" s="13">
        <f t="shared" si="18"/>
        <v>2014569.27</v>
      </c>
      <c r="V30" s="81">
        <v>2206400</v>
      </c>
      <c r="W30" s="76"/>
      <c r="X30" s="76">
        <v>1733600</v>
      </c>
      <c r="Y30" s="74">
        <f t="shared" si="19"/>
        <v>3940000</v>
      </c>
      <c r="Z30" s="74">
        <v>0</v>
      </c>
      <c r="AA30" s="13">
        <f t="shared" si="20"/>
        <v>3940000</v>
      </c>
      <c r="AB30" s="143">
        <f t="shared" si="12"/>
        <v>1.0368421052631578</v>
      </c>
      <c r="AC30" s="4"/>
      <c r="AD30" s="4"/>
    </row>
    <row r="31" spans="1:30" x14ac:dyDescent="0.25">
      <c r="A31" s="5"/>
      <c r="B31" s="14" t="s">
        <v>24</v>
      </c>
      <c r="C31" s="38" t="s">
        <v>16</v>
      </c>
      <c r="D31" s="179">
        <v>8169597.75</v>
      </c>
      <c r="E31" s="179"/>
      <c r="F31" s="179">
        <v>2585600</v>
      </c>
      <c r="G31" s="176">
        <f t="shared" si="13"/>
        <v>10755197.75</v>
      </c>
      <c r="H31" s="176">
        <v>48560</v>
      </c>
      <c r="I31" s="178">
        <f t="shared" si="14"/>
        <v>10803757.75</v>
      </c>
      <c r="J31" s="81">
        <v>4620000</v>
      </c>
      <c r="K31" s="76"/>
      <c r="L31" s="76">
        <v>4380000</v>
      </c>
      <c r="M31" s="74">
        <f t="shared" si="15"/>
        <v>9000000</v>
      </c>
      <c r="N31" s="74">
        <v>60000</v>
      </c>
      <c r="O31" s="13">
        <f t="shared" si="16"/>
        <v>9060000</v>
      </c>
      <c r="P31" s="81">
        <v>1683963.7892000002</v>
      </c>
      <c r="Q31" s="76"/>
      <c r="R31" s="76">
        <v>1596485.1508000002</v>
      </c>
      <c r="S31" s="74">
        <f t="shared" si="17"/>
        <v>3280448.9400000004</v>
      </c>
      <c r="T31" s="74">
        <v>52853.58</v>
      </c>
      <c r="U31" s="13">
        <f t="shared" si="18"/>
        <v>3333302.5200000005</v>
      </c>
      <c r="V31" s="81">
        <f>5112800+150000</f>
        <v>5262800</v>
      </c>
      <c r="W31" s="76"/>
      <c r="X31" s="76">
        <v>4017199.9999999991</v>
      </c>
      <c r="Y31" s="74">
        <f t="shared" si="19"/>
        <v>9280000</v>
      </c>
      <c r="Z31" s="74">
        <v>50000</v>
      </c>
      <c r="AA31" s="13">
        <f t="shared" si="20"/>
        <v>9330000</v>
      </c>
      <c r="AB31" s="143">
        <f t="shared" si="12"/>
        <v>1.0298013245033113</v>
      </c>
      <c r="AC31" s="4"/>
      <c r="AD31" s="4"/>
    </row>
    <row r="32" spans="1:30" x14ac:dyDescent="0.25">
      <c r="A32" s="5"/>
      <c r="B32" s="14" t="s">
        <v>26</v>
      </c>
      <c r="C32" s="38" t="s">
        <v>18</v>
      </c>
      <c r="D32" s="179">
        <f>+D33+D34</f>
        <v>10959068.100000001</v>
      </c>
      <c r="E32" s="179">
        <f t="shared" ref="E32:F32" si="21">+E33+E34</f>
        <v>197792</v>
      </c>
      <c r="F32" s="179">
        <f t="shared" si="21"/>
        <v>13942216</v>
      </c>
      <c r="G32" s="176">
        <f>++G33+G34</f>
        <v>25099076.100000001</v>
      </c>
      <c r="H32" s="176">
        <f>+H33+H34</f>
        <v>1339481.8400000001</v>
      </c>
      <c r="I32" s="178">
        <f t="shared" si="14"/>
        <v>26438557.940000001</v>
      </c>
      <c r="J32" s="82">
        <v>15620000</v>
      </c>
      <c r="K32" s="76">
        <v>300000</v>
      </c>
      <c r="L32" s="76">
        <v>13050000</v>
      </c>
      <c r="M32" s="74">
        <f t="shared" si="15"/>
        <v>28970000</v>
      </c>
      <c r="N32" s="74">
        <v>800000</v>
      </c>
      <c r="O32" s="13">
        <f t="shared" si="16"/>
        <v>29770000</v>
      </c>
      <c r="P32" s="82">
        <v>6066614.5474103279</v>
      </c>
      <c r="Q32" s="76">
        <v>325918.46999999997</v>
      </c>
      <c r="R32" s="76">
        <v>4932096.2025896702</v>
      </c>
      <c r="S32" s="74">
        <f t="shared" si="17"/>
        <v>11324629.219999999</v>
      </c>
      <c r="T32" s="74">
        <v>431864.78</v>
      </c>
      <c r="U32" s="13">
        <f t="shared" si="18"/>
        <v>11756493.999999998</v>
      </c>
      <c r="V32" s="81">
        <f>+V33+V34</f>
        <v>15590800</v>
      </c>
      <c r="W32" s="81">
        <f t="shared" ref="W32:X32" si="22">+W33+W34</f>
        <v>100000</v>
      </c>
      <c r="X32" s="81">
        <f t="shared" si="22"/>
        <v>14739200</v>
      </c>
      <c r="Y32" s="74">
        <f t="shared" si="19"/>
        <v>30430000</v>
      </c>
      <c r="Z32" s="74">
        <f>+Z33+Z34</f>
        <v>1160000</v>
      </c>
      <c r="AA32" s="13">
        <f t="shared" si="20"/>
        <v>31590000</v>
      </c>
      <c r="AB32" s="143">
        <f t="shared" si="12"/>
        <v>1.0611353711790392</v>
      </c>
      <c r="AC32" s="4"/>
      <c r="AD32" s="4"/>
    </row>
    <row r="33" spans="1:30" x14ac:dyDescent="0.25">
      <c r="A33" s="5"/>
      <c r="B33" s="14" t="s">
        <v>28</v>
      </c>
      <c r="C33" s="39" t="s">
        <v>42</v>
      </c>
      <c r="D33" s="179">
        <f>21016513.1-E33-F33</f>
        <v>10959068.100000001</v>
      </c>
      <c r="E33" s="179">
        <v>197792</v>
      </c>
      <c r="F33" s="179">
        <v>9859653</v>
      </c>
      <c r="G33" s="176">
        <f t="shared" si="13"/>
        <v>21016513.100000001</v>
      </c>
      <c r="H33" s="176">
        <v>1107661.8900000001</v>
      </c>
      <c r="I33" s="178">
        <f t="shared" si="14"/>
        <v>22124174.990000002</v>
      </c>
      <c r="J33" s="82">
        <v>15000000</v>
      </c>
      <c r="K33" s="76">
        <v>300000</v>
      </c>
      <c r="L33" s="76">
        <v>10650000</v>
      </c>
      <c r="M33" s="74">
        <f t="shared" si="15"/>
        <v>25950000</v>
      </c>
      <c r="N33" s="74">
        <v>0</v>
      </c>
      <c r="O33" s="13">
        <f t="shared" si="16"/>
        <v>25950000</v>
      </c>
      <c r="P33" s="82">
        <v>5802560.2427745666</v>
      </c>
      <c r="Q33" s="76">
        <v>325918.46999999997</v>
      </c>
      <c r="R33" s="76">
        <v>3909950.5072254315</v>
      </c>
      <c r="S33" s="74">
        <f t="shared" si="17"/>
        <v>10038429.219999999</v>
      </c>
      <c r="T33" s="74">
        <v>409514.78</v>
      </c>
      <c r="U33" s="13">
        <f t="shared" si="18"/>
        <v>10447943.999999998</v>
      </c>
      <c r="V33" s="81">
        <f>15113280-W33-1000000</f>
        <v>14013280</v>
      </c>
      <c r="W33" s="76">
        <v>100000</v>
      </c>
      <c r="X33" s="76">
        <f>11774720+100000+1000000</f>
        <v>12874720</v>
      </c>
      <c r="Y33" s="74">
        <f t="shared" si="19"/>
        <v>26988000</v>
      </c>
      <c r="Z33" s="74">
        <v>870000</v>
      </c>
      <c r="AA33" s="13">
        <f>Y33+Z33</f>
        <v>27858000</v>
      </c>
      <c r="AB33" s="143">
        <f t="shared" si="12"/>
        <v>1.0735260115606937</v>
      </c>
      <c r="AC33" s="4"/>
      <c r="AD33" s="4"/>
    </row>
    <row r="34" spans="1:30" x14ac:dyDescent="0.25">
      <c r="A34" s="5"/>
      <c r="B34" s="14" t="s">
        <v>30</v>
      </c>
      <c r="C34" s="40" t="s">
        <v>21</v>
      </c>
      <c r="D34" s="179">
        <v>0</v>
      </c>
      <c r="E34" s="179">
        <v>0</v>
      </c>
      <c r="F34" s="179">
        <v>4082563</v>
      </c>
      <c r="G34" s="176">
        <f t="shared" si="13"/>
        <v>4082563</v>
      </c>
      <c r="H34" s="176">
        <v>231819.95</v>
      </c>
      <c r="I34" s="178">
        <f t="shared" si="14"/>
        <v>4314382.95</v>
      </c>
      <c r="J34" s="82">
        <v>620000</v>
      </c>
      <c r="K34" s="76"/>
      <c r="L34" s="76">
        <v>2400000</v>
      </c>
      <c r="M34" s="74">
        <f>SUM(J34:L34)</f>
        <v>3020000</v>
      </c>
      <c r="N34" s="74">
        <v>800000</v>
      </c>
      <c r="O34" s="13">
        <f t="shared" si="16"/>
        <v>3820000</v>
      </c>
      <c r="P34" s="82">
        <v>264054.3046357616</v>
      </c>
      <c r="Q34" s="76"/>
      <c r="R34" s="76">
        <v>1022145.6953642385</v>
      </c>
      <c r="S34" s="74">
        <f t="shared" si="17"/>
        <v>1286200</v>
      </c>
      <c r="T34" s="74">
        <v>22350</v>
      </c>
      <c r="U34" s="13">
        <f t="shared" si="18"/>
        <v>1308550</v>
      </c>
      <c r="V34" s="82">
        <f>1927520-350000</f>
        <v>1577520</v>
      </c>
      <c r="W34" s="76"/>
      <c r="X34" s="76">
        <f>1514480+350000</f>
        <v>1864480</v>
      </c>
      <c r="Y34" s="74">
        <f t="shared" si="19"/>
        <v>3442000</v>
      </c>
      <c r="Z34" s="74">
        <v>290000</v>
      </c>
      <c r="AA34" s="13">
        <f>Y34+Z34</f>
        <v>3732000</v>
      </c>
      <c r="AB34" s="143">
        <f t="shared" si="12"/>
        <v>0.97696335078534036</v>
      </c>
      <c r="AC34" s="4"/>
      <c r="AD34" s="4"/>
    </row>
    <row r="35" spans="1:30" x14ac:dyDescent="0.25">
      <c r="A35" s="5"/>
      <c r="B35" s="14" t="s">
        <v>32</v>
      </c>
      <c r="C35" s="38" t="s">
        <v>23</v>
      </c>
      <c r="D35" s="179">
        <f>7936203.05-F35</f>
        <v>4920445.8909999998</v>
      </c>
      <c r="E35" s="179"/>
      <c r="F35" s="179">
        <v>3015757.159</v>
      </c>
      <c r="G35" s="176">
        <f t="shared" si="13"/>
        <v>7936203.0499999998</v>
      </c>
      <c r="H35" s="176">
        <v>0</v>
      </c>
      <c r="I35" s="178">
        <f t="shared" si="14"/>
        <v>7936203.0499999998</v>
      </c>
      <c r="J35" s="82">
        <v>5200000</v>
      </c>
      <c r="K35" s="76">
        <v>101400</v>
      </c>
      <c r="L35" s="76">
        <v>3608600</v>
      </c>
      <c r="M35" s="74">
        <f t="shared" si="15"/>
        <v>8910000</v>
      </c>
      <c r="N35" s="74">
        <v>250000</v>
      </c>
      <c r="O35" s="13">
        <f t="shared" si="16"/>
        <v>9160000</v>
      </c>
      <c r="P35" s="82">
        <v>2068116.3016835018</v>
      </c>
      <c r="Q35" s="76"/>
      <c r="R35" s="76">
        <v>1475521.4383164984</v>
      </c>
      <c r="S35" s="74">
        <f t="shared" si="17"/>
        <v>3543637.74</v>
      </c>
      <c r="T35" s="74">
        <v>135698.26</v>
      </c>
      <c r="U35" s="13">
        <f t="shared" si="18"/>
        <v>3679336</v>
      </c>
      <c r="V35" s="82">
        <v>5373200.0000000009</v>
      </c>
      <c r="W35" s="76"/>
      <c r="X35" s="76">
        <v>4221799.9999999991</v>
      </c>
      <c r="Y35" s="74">
        <f t="shared" si="19"/>
        <v>9595000</v>
      </c>
      <c r="Z35" s="74">
        <v>295000</v>
      </c>
      <c r="AA35" s="13">
        <f t="shared" si="20"/>
        <v>9890000</v>
      </c>
      <c r="AB35" s="143">
        <f t="shared" si="12"/>
        <v>1.0796943231441047</v>
      </c>
      <c r="AC35" s="4"/>
      <c r="AD35" s="4"/>
    </row>
    <row r="36" spans="1:30" x14ac:dyDescent="0.25">
      <c r="A36" s="5"/>
      <c r="B36" s="14" t="s">
        <v>33</v>
      </c>
      <c r="C36" s="38" t="s">
        <v>25</v>
      </c>
      <c r="D36" s="179">
        <v>35919</v>
      </c>
      <c r="E36" s="179"/>
      <c r="F36" s="179"/>
      <c r="G36" s="176">
        <f t="shared" si="13"/>
        <v>35919</v>
      </c>
      <c r="H36" s="176">
        <v>613453</v>
      </c>
      <c r="I36" s="178">
        <f t="shared" si="14"/>
        <v>649372</v>
      </c>
      <c r="J36" s="81">
        <v>60000</v>
      </c>
      <c r="K36" s="76"/>
      <c r="L36" s="76">
        <v>0</v>
      </c>
      <c r="M36" s="74">
        <f t="shared" si="15"/>
        <v>60000</v>
      </c>
      <c r="N36" s="74"/>
      <c r="O36" s="13">
        <f t="shared" si="16"/>
        <v>60000</v>
      </c>
      <c r="P36" s="81">
        <v>8420</v>
      </c>
      <c r="Q36" s="76"/>
      <c r="R36" s="76">
        <v>0</v>
      </c>
      <c r="S36" s="74">
        <f t="shared" si="17"/>
        <v>8420</v>
      </c>
      <c r="T36" s="74"/>
      <c r="U36" s="13">
        <f t="shared" si="18"/>
        <v>8420</v>
      </c>
      <c r="V36" s="81">
        <v>33600</v>
      </c>
      <c r="W36" s="76"/>
      <c r="X36" s="76">
        <v>26400</v>
      </c>
      <c r="Y36" s="74">
        <f t="shared" si="19"/>
        <v>60000</v>
      </c>
      <c r="Z36" s="74">
        <v>0</v>
      </c>
      <c r="AA36" s="13">
        <f t="shared" si="20"/>
        <v>60000</v>
      </c>
      <c r="AB36" s="143">
        <f t="shared" si="12"/>
        <v>1</v>
      </c>
      <c r="AC36" s="4"/>
      <c r="AD36" s="4"/>
    </row>
    <row r="37" spans="1:30" x14ac:dyDescent="0.25">
      <c r="A37" s="5"/>
      <c r="B37" s="14" t="s">
        <v>34</v>
      </c>
      <c r="C37" s="38" t="s">
        <v>27</v>
      </c>
      <c r="D37" s="179">
        <v>6422281.2200000007</v>
      </c>
      <c r="E37" s="179">
        <v>0</v>
      </c>
      <c r="F37" s="179">
        <f>+G19</f>
        <v>1295250.6399999999</v>
      </c>
      <c r="G37" s="176">
        <f t="shared" si="13"/>
        <v>7717531.8600000003</v>
      </c>
      <c r="H37" s="176">
        <v>1199013.6399999999</v>
      </c>
      <c r="I37" s="178">
        <f t="shared" si="14"/>
        <v>8916545.5</v>
      </c>
      <c r="J37" s="81">
        <v>7200000</v>
      </c>
      <c r="K37" s="76"/>
      <c r="L37" s="76">
        <v>0</v>
      </c>
      <c r="M37" s="74">
        <f t="shared" si="15"/>
        <v>7200000</v>
      </c>
      <c r="N37" s="74">
        <v>440000</v>
      </c>
      <c r="O37" s="13">
        <f t="shared" si="16"/>
        <v>7640000</v>
      </c>
      <c r="P37" s="81">
        <v>3361555.18</v>
      </c>
      <c r="Q37" s="76"/>
      <c r="R37" s="76">
        <v>647625.31999999995</v>
      </c>
      <c r="S37" s="74">
        <f t="shared" si="17"/>
        <v>4009180.5</v>
      </c>
      <c r="T37" s="74">
        <v>221718</v>
      </c>
      <c r="U37" s="13">
        <f t="shared" si="18"/>
        <v>4230898.5</v>
      </c>
      <c r="V37" s="81">
        <f>10550000-X37</f>
        <v>9150000</v>
      </c>
      <c r="W37" s="76"/>
      <c r="X37" s="76">
        <v>1400000</v>
      </c>
      <c r="Y37" s="74">
        <f t="shared" si="19"/>
        <v>10550000</v>
      </c>
      <c r="Z37" s="74">
        <v>0</v>
      </c>
      <c r="AA37" s="13">
        <f t="shared" si="20"/>
        <v>10550000</v>
      </c>
      <c r="AB37" s="143">
        <f t="shared" si="12"/>
        <v>1.380890052356021</v>
      </c>
      <c r="AC37" s="4"/>
      <c r="AD37" s="4"/>
    </row>
    <row r="38" spans="1:30" ht="15.75" thickBot="1" x14ac:dyDescent="0.3">
      <c r="A38" s="5"/>
      <c r="B38" s="19" t="s">
        <v>35</v>
      </c>
      <c r="C38" s="101" t="s">
        <v>29</v>
      </c>
      <c r="D38" s="180">
        <f>3918456.1-E38-F38</f>
        <v>391807.79999999981</v>
      </c>
      <c r="E38" s="180">
        <v>670493.30000000005</v>
      </c>
      <c r="F38" s="180">
        <v>2856155</v>
      </c>
      <c r="G38" s="176">
        <f t="shared" si="13"/>
        <v>3918456.0999999996</v>
      </c>
      <c r="H38" s="181"/>
      <c r="I38" s="182">
        <f t="shared" si="14"/>
        <v>3918456.0999999996</v>
      </c>
      <c r="J38" s="83">
        <v>600000</v>
      </c>
      <c r="K38" s="77">
        <v>198600</v>
      </c>
      <c r="L38" s="77">
        <v>1961400</v>
      </c>
      <c r="M38" s="78">
        <f t="shared" si="15"/>
        <v>2760000</v>
      </c>
      <c r="N38" s="78">
        <v>100000</v>
      </c>
      <c r="O38" s="22">
        <f t="shared" si="16"/>
        <v>2860000</v>
      </c>
      <c r="P38" s="83">
        <v>296489.85869565216</v>
      </c>
      <c r="Q38" s="77">
        <v>151720</v>
      </c>
      <c r="R38" s="77">
        <v>915643.49130434799</v>
      </c>
      <c r="S38" s="78">
        <f t="shared" si="17"/>
        <v>1363853.35</v>
      </c>
      <c r="T38" s="78">
        <v>431139.03</v>
      </c>
      <c r="U38" s="22">
        <f t="shared" si="18"/>
        <v>1794992.3800000001</v>
      </c>
      <c r="V38" s="83">
        <v>1130708</v>
      </c>
      <c r="W38" s="77">
        <v>436092</v>
      </c>
      <c r="X38" s="77">
        <f>2453200-100000</f>
        <v>2353200</v>
      </c>
      <c r="Y38" s="78">
        <f t="shared" si="19"/>
        <v>3920000</v>
      </c>
      <c r="Z38" s="78">
        <v>1930000</v>
      </c>
      <c r="AA38" s="22">
        <f t="shared" si="20"/>
        <v>5850000</v>
      </c>
      <c r="AB38" s="146">
        <f t="shared" si="12"/>
        <v>2.0454545454545454</v>
      </c>
      <c r="AC38" s="4"/>
      <c r="AD38" s="4"/>
    </row>
    <row r="39" spans="1:30" ht="15.75" thickBot="1" x14ac:dyDescent="0.3">
      <c r="A39" s="5"/>
      <c r="B39" s="23" t="s">
        <v>48</v>
      </c>
      <c r="C39" s="102" t="s">
        <v>31</v>
      </c>
      <c r="D39" s="41">
        <f>SUM(D35:D38)+SUM(D28:D32)</f>
        <v>45599399.981000006</v>
      </c>
      <c r="E39" s="41">
        <f>SUM(E35:E38)+SUM(E28:E32)</f>
        <v>1532193.3</v>
      </c>
      <c r="F39" s="41">
        <f>SUM(F35:F38)+SUM(F28:F32)</f>
        <v>25503232.098999999</v>
      </c>
      <c r="G39" s="142">
        <f>SUM(D39:F39)</f>
        <v>72634825.379999995</v>
      </c>
      <c r="H39" s="42">
        <f>SUM(H28:H32)+SUM(H35:H38)</f>
        <v>3659240</v>
      </c>
      <c r="I39" s="43">
        <f>SUM(I35:I38)+SUM(I28:I32)</f>
        <v>76294065.379999995</v>
      </c>
      <c r="J39" s="41">
        <f>SUM(J35:J38)+SUM(J28:J32)</f>
        <v>42000000</v>
      </c>
      <c r="K39" s="41">
        <f>SUM(K35:K38)+SUM(K28:K32)</f>
        <v>1400000</v>
      </c>
      <c r="L39" s="41">
        <f>SUM(L35:L38)+SUM(L28:L32)</f>
        <v>29100000</v>
      </c>
      <c r="M39" s="142">
        <f>SUM(J39:L39)</f>
        <v>72500000</v>
      </c>
      <c r="N39" s="42">
        <f>SUM(N28:N32)+SUM(N35:N38)</f>
        <v>2800000</v>
      </c>
      <c r="O39" s="43">
        <f>SUM(O35:O38)+SUM(O28:O32)</f>
        <v>75300000</v>
      </c>
      <c r="P39" s="41">
        <f>SUM(P35:P38)+SUM(P28:P32)</f>
        <v>17546359.500471264</v>
      </c>
      <c r="Q39" s="41">
        <f>SUM(Q35:Q38)+SUM(Q28:Q32)</f>
        <v>1243268.47</v>
      </c>
      <c r="R39" s="41">
        <f>SUM(R35:R38)+SUM(R28:R32)</f>
        <v>11871140.689528737</v>
      </c>
      <c r="S39" s="142">
        <f>SUM(P39:R39)</f>
        <v>30660768.66</v>
      </c>
      <c r="T39" s="42">
        <f>SUM(T28:T32)+SUM(T35:T38)</f>
        <v>1430933.9500000002</v>
      </c>
      <c r="U39" s="43">
        <f>SUM(U35:U38)+SUM(U28:U32)</f>
        <v>32091702.609999999</v>
      </c>
      <c r="V39" s="41">
        <f>SUM(V35:V38)+SUM(V28:V32)</f>
        <v>46000000</v>
      </c>
      <c r="W39" s="41">
        <f>SUM(W35:W38)+SUM(W28:W32)</f>
        <v>1200000</v>
      </c>
      <c r="X39" s="41">
        <f>SUM(X35:X38)+SUM(X28:X32)</f>
        <v>34515000</v>
      </c>
      <c r="Y39" s="142">
        <f>SUM(V39:X39)</f>
        <v>81715000</v>
      </c>
      <c r="Z39" s="42">
        <f>SUM(Z28:Z32)+SUM(Z35:Z38)</f>
        <v>4385000</v>
      </c>
      <c r="AA39" s="43">
        <f>SUM(AA35:AA38)+SUM(AA28:AA32)</f>
        <v>86100000</v>
      </c>
      <c r="AB39" s="148">
        <f t="shared" si="12"/>
        <v>1.1434262948207172</v>
      </c>
      <c r="AC39" s="4"/>
      <c r="AD39" s="4"/>
    </row>
    <row r="40" spans="1:30" ht="19.5" thickBot="1" x14ac:dyDescent="0.35">
      <c r="A40" s="5"/>
      <c r="B40" s="106" t="s">
        <v>49</v>
      </c>
      <c r="C40" s="107" t="s">
        <v>51</v>
      </c>
      <c r="D40" s="108">
        <f t="shared" ref="D40:O40" si="23">D24-D39</f>
        <v>-2585599.9810000062</v>
      </c>
      <c r="E40" s="108">
        <f t="shared" si="23"/>
        <v>0</v>
      </c>
      <c r="F40" s="108">
        <f t="shared" si="23"/>
        <v>2731539.7710000016</v>
      </c>
      <c r="G40" s="117">
        <f t="shared" si="23"/>
        <v>145939.79000000656</v>
      </c>
      <c r="H40" s="117">
        <f t="shared" si="23"/>
        <v>1031642.5099999988</v>
      </c>
      <c r="I40" s="118">
        <f t="shared" si="23"/>
        <v>1177582.299999997</v>
      </c>
      <c r="J40" s="108">
        <f t="shared" si="23"/>
        <v>0</v>
      </c>
      <c r="K40" s="108">
        <f t="shared" si="23"/>
        <v>0</v>
      </c>
      <c r="L40" s="108">
        <f t="shared" si="23"/>
        <v>-1100000</v>
      </c>
      <c r="M40" s="117">
        <f t="shared" si="23"/>
        <v>-1100000</v>
      </c>
      <c r="N40" s="117">
        <f t="shared" si="23"/>
        <v>1100000</v>
      </c>
      <c r="O40" s="118">
        <f t="shared" si="23"/>
        <v>0</v>
      </c>
      <c r="P40" s="108">
        <f t="shared" ref="P40:U40" si="24">P24-P39</f>
        <v>3453640.4995287359</v>
      </c>
      <c r="Q40" s="108">
        <f t="shared" si="24"/>
        <v>0</v>
      </c>
      <c r="R40" s="108">
        <f t="shared" si="24"/>
        <v>-3710322.7295287373</v>
      </c>
      <c r="S40" s="117">
        <f t="shared" si="24"/>
        <v>-256682.23000000045</v>
      </c>
      <c r="T40" s="117">
        <f t="shared" si="24"/>
        <v>828058.54999999981</v>
      </c>
      <c r="U40" s="118">
        <f t="shared" si="24"/>
        <v>571376.3200000003</v>
      </c>
      <c r="V40" s="108">
        <f t="shared" ref="V40:AA40" si="25">V24-V39</f>
        <v>0</v>
      </c>
      <c r="W40" s="108">
        <f t="shared" si="25"/>
        <v>0</v>
      </c>
      <c r="X40" s="108">
        <f t="shared" si="25"/>
        <v>-615000</v>
      </c>
      <c r="Y40" s="117">
        <f t="shared" si="25"/>
        <v>-615000</v>
      </c>
      <c r="Z40" s="117">
        <f t="shared" si="25"/>
        <v>615000</v>
      </c>
      <c r="AA40" s="118">
        <f t="shared" si="25"/>
        <v>0</v>
      </c>
      <c r="AB40" s="149" t="e">
        <f t="shared" si="12"/>
        <v>#DIV/0!</v>
      </c>
      <c r="AC40" s="4"/>
      <c r="AD40" s="4"/>
    </row>
    <row r="41" spans="1:30" ht="15.75" thickBot="1" x14ac:dyDescent="0.3">
      <c r="A41" s="5"/>
      <c r="B41" s="109" t="s">
        <v>50</v>
      </c>
      <c r="C41" s="110" t="s">
        <v>65</v>
      </c>
      <c r="D41" s="111"/>
      <c r="E41" s="112"/>
      <c r="F41" s="112"/>
      <c r="G41" s="113"/>
      <c r="H41" s="114"/>
      <c r="I41" s="115">
        <f>I40-D16</f>
        <v>-41836217.700000003</v>
      </c>
      <c r="J41" s="111"/>
      <c r="K41" s="112"/>
      <c r="L41" s="112"/>
      <c r="M41" s="113"/>
      <c r="N41" s="116"/>
      <c r="O41" s="115">
        <f>O40-J16</f>
        <v>-42000000</v>
      </c>
      <c r="P41" s="111"/>
      <c r="Q41" s="112"/>
      <c r="R41" s="112"/>
      <c r="S41" s="113"/>
      <c r="T41" s="116"/>
      <c r="U41" s="115">
        <f>U40-P16</f>
        <v>-20428623.68</v>
      </c>
      <c r="V41" s="111"/>
      <c r="W41" s="112"/>
      <c r="X41" s="112"/>
      <c r="Y41" s="113"/>
      <c r="Z41" s="116"/>
      <c r="AA41" s="115">
        <f>AA40-V16</f>
        <v>-46000000</v>
      </c>
      <c r="AB41" s="143">
        <f t="shared" si="12"/>
        <v>1.0952380952380953</v>
      </c>
      <c r="AC41" s="4"/>
      <c r="AD41" s="4"/>
    </row>
    <row r="42" spans="1:30" s="120" customFormat="1" ht="8.25" customHeight="1" thickBot="1" x14ac:dyDescent="0.3">
      <c r="A42" s="86"/>
      <c r="B42" s="87"/>
      <c r="C42" s="47"/>
      <c r="D42" s="88"/>
      <c r="E42" s="48"/>
      <c r="F42" s="48"/>
      <c r="G42" s="86"/>
      <c r="H42" s="48"/>
      <c r="I42" s="48"/>
      <c r="J42" s="88"/>
      <c r="K42" s="48"/>
      <c r="L42" s="48"/>
      <c r="M42" s="86"/>
      <c r="N42" s="48"/>
      <c r="O42" s="48"/>
      <c r="P42" s="48"/>
      <c r="Q42" s="48"/>
      <c r="R42" s="48"/>
      <c r="S42" s="48"/>
      <c r="T42" s="48"/>
      <c r="U42" s="48"/>
      <c r="V42" s="89"/>
      <c r="W42" s="89"/>
      <c r="X42" s="89"/>
      <c r="Y42" s="89"/>
      <c r="Z42" s="89"/>
      <c r="AA42" s="89"/>
      <c r="AB42" s="89"/>
      <c r="AC42" s="89"/>
      <c r="AD42" s="89"/>
    </row>
    <row r="43" spans="1:30" s="120" customFormat="1" ht="15.75" customHeight="1" thickBot="1" x14ac:dyDescent="0.3">
      <c r="A43" s="86"/>
      <c r="B43" s="91"/>
      <c r="C43" s="409" t="s">
        <v>83</v>
      </c>
      <c r="D43" s="105" t="s">
        <v>41</v>
      </c>
      <c r="E43" s="44" t="s">
        <v>84</v>
      </c>
      <c r="F43" s="45" t="s">
        <v>36</v>
      </c>
      <c r="G43" s="48"/>
      <c r="H43" s="48"/>
      <c r="I43" s="49"/>
      <c r="J43" s="105" t="s">
        <v>41</v>
      </c>
      <c r="K43" s="44" t="s">
        <v>84</v>
      </c>
      <c r="L43" s="45" t="s">
        <v>36</v>
      </c>
      <c r="M43" s="48"/>
      <c r="N43" s="48"/>
      <c r="O43" s="48"/>
      <c r="P43" s="105" t="s">
        <v>41</v>
      </c>
      <c r="Q43" s="44" t="s">
        <v>84</v>
      </c>
      <c r="R43" s="45" t="s">
        <v>36</v>
      </c>
      <c r="S43" s="89"/>
      <c r="T43" s="89"/>
      <c r="U43" s="89"/>
      <c r="V43" s="105" t="s">
        <v>41</v>
      </c>
      <c r="W43" s="44" t="s">
        <v>84</v>
      </c>
      <c r="X43" s="45" t="s">
        <v>36</v>
      </c>
      <c r="Y43" s="89"/>
      <c r="Z43" s="89"/>
      <c r="AA43" s="89"/>
      <c r="AB43" s="89"/>
      <c r="AC43" s="89"/>
      <c r="AD43" s="89"/>
    </row>
    <row r="44" spans="1:30" ht="15.75" thickBot="1" x14ac:dyDescent="0.3">
      <c r="A44" s="5"/>
      <c r="B44" s="91"/>
      <c r="C44" s="410"/>
      <c r="D44" s="93"/>
      <c r="E44" s="103"/>
      <c r="F44" s="104">
        <v>0</v>
      </c>
      <c r="G44" s="48"/>
      <c r="H44" s="48"/>
      <c r="I44" s="49"/>
      <c r="J44" s="93"/>
      <c r="K44" s="103">
        <v>0</v>
      </c>
      <c r="L44" s="104">
        <v>0</v>
      </c>
      <c r="M44" s="92"/>
      <c r="N44" s="92"/>
      <c r="O44" s="92"/>
      <c r="P44" s="93"/>
      <c r="Q44" s="103"/>
      <c r="R44" s="104">
        <v>0</v>
      </c>
      <c r="S44" s="4"/>
      <c r="T44" s="4"/>
      <c r="U44" s="4"/>
      <c r="V44" s="93"/>
      <c r="W44" s="103"/>
      <c r="X44" s="104">
        <v>0</v>
      </c>
      <c r="Y44" s="4"/>
      <c r="Z44" s="4"/>
      <c r="AA44" s="4"/>
      <c r="AB44" s="4"/>
      <c r="AC44" s="4"/>
      <c r="AD44" s="4"/>
    </row>
    <row r="45" spans="1:30" s="120" customFormat="1" ht="8.25" customHeight="1" thickBot="1" x14ac:dyDescent="0.3">
      <c r="A45" s="86"/>
      <c r="B45" s="91"/>
      <c r="C45" s="47"/>
      <c r="D45" s="92"/>
      <c r="E45" s="48"/>
      <c r="F45" s="48"/>
      <c r="G45" s="48"/>
      <c r="H45" s="48"/>
      <c r="I45" s="49"/>
      <c r="J45" s="48"/>
      <c r="K45" s="48"/>
      <c r="L45" s="48"/>
      <c r="M45" s="48"/>
      <c r="N45" s="48"/>
      <c r="O45" s="49"/>
      <c r="P45" s="49"/>
      <c r="Q45" s="49"/>
      <c r="R45" s="49"/>
      <c r="S45" s="49"/>
      <c r="T45" s="49"/>
      <c r="U45" s="49"/>
      <c r="V45" s="89"/>
      <c r="W45" s="89"/>
      <c r="X45" s="89"/>
      <c r="Y45" s="89"/>
      <c r="Z45" s="89"/>
      <c r="AA45" s="89"/>
      <c r="AB45" s="89"/>
      <c r="AC45" s="89"/>
      <c r="AD45" s="89"/>
    </row>
    <row r="46" spans="1:30" s="120" customFormat="1" ht="37.5" customHeight="1" thickBot="1" x14ac:dyDescent="0.3">
      <c r="A46" s="86"/>
      <c r="B46" s="91"/>
      <c r="C46" s="409" t="s">
        <v>86</v>
      </c>
      <c r="D46" s="94" t="s">
        <v>87</v>
      </c>
      <c r="E46" s="95" t="s">
        <v>85</v>
      </c>
      <c r="F46" s="48"/>
      <c r="G46" s="48"/>
      <c r="H46" s="48"/>
      <c r="I46" s="49"/>
      <c r="J46" s="94" t="s">
        <v>87</v>
      </c>
      <c r="K46" s="95" t="s">
        <v>85</v>
      </c>
      <c r="L46" s="144"/>
      <c r="M46" s="144"/>
      <c r="N46" s="89"/>
      <c r="O46" s="89"/>
      <c r="P46" s="94" t="s">
        <v>87</v>
      </c>
      <c r="Q46" s="95" t="s">
        <v>85</v>
      </c>
      <c r="R46" s="89"/>
      <c r="S46" s="89"/>
      <c r="T46" s="89"/>
      <c r="U46" s="89"/>
      <c r="V46" s="94" t="s">
        <v>87</v>
      </c>
      <c r="W46" s="95" t="s">
        <v>85</v>
      </c>
      <c r="X46" s="89"/>
      <c r="Y46" s="89"/>
      <c r="Z46" s="89"/>
      <c r="AA46" s="89"/>
      <c r="AB46" s="89"/>
      <c r="AC46" s="89"/>
      <c r="AD46" s="89"/>
    </row>
    <row r="47" spans="1:30" ht="15.75" thickBot="1" x14ac:dyDescent="0.3">
      <c r="A47" s="5"/>
      <c r="B47" s="46"/>
      <c r="C47" s="411"/>
      <c r="D47" s="93">
        <v>5000000</v>
      </c>
      <c r="E47" s="96">
        <v>0</v>
      </c>
      <c r="F47" s="48"/>
      <c r="G47" s="48"/>
      <c r="H47" s="48"/>
      <c r="I47" s="49"/>
      <c r="J47" s="93">
        <v>5000000</v>
      </c>
      <c r="K47" s="96">
        <v>0</v>
      </c>
      <c r="L47" s="145"/>
      <c r="M47" s="145"/>
      <c r="N47" s="4"/>
      <c r="O47" s="4"/>
      <c r="P47" s="93">
        <v>5000000</v>
      </c>
      <c r="Q47" s="96">
        <v>0</v>
      </c>
      <c r="R47" s="4"/>
      <c r="S47" s="4"/>
      <c r="T47" s="4"/>
      <c r="U47" s="4"/>
      <c r="V47" s="364">
        <v>5000000</v>
      </c>
      <c r="W47" s="96">
        <v>0</v>
      </c>
      <c r="X47" s="4"/>
      <c r="Y47" s="4"/>
      <c r="Z47" s="4"/>
      <c r="AA47" s="4"/>
      <c r="AB47" s="4"/>
      <c r="AC47" s="4"/>
      <c r="AD47" s="4"/>
    </row>
    <row r="48" spans="1:30" x14ac:dyDescent="0.25">
      <c r="A48" s="5"/>
      <c r="B48" s="46"/>
      <c r="C48" s="47"/>
      <c r="D48" s="48"/>
      <c r="E48" s="48"/>
      <c r="F48" s="48"/>
      <c r="G48" s="48"/>
      <c r="H48" s="48"/>
      <c r="I48" s="49"/>
      <c r="J48" s="48"/>
      <c r="K48" s="48"/>
      <c r="L48" s="48"/>
      <c r="M48" s="48"/>
      <c r="N48" s="48"/>
      <c r="O48" s="49"/>
      <c r="P48" s="49"/>
      <c r="Q48" s="49"/>
      <c r="R48" s="49"/>
      <c r="S48" s="49"/>
      <c r="T48" s="49"/>
      <c r="U48" s="49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5">
      <c r="A49" s="5"/>
      <c r="B49" s="46"/>
      <c r="C49" s="97" t="s">
        <v>82</v>
      </c>
      <c r="D49" s="98" t="s">
        <v>73</v>
      </c>
      <c r="E49" s="98" t="s">
        <v>74</v>
      </c>
      <c r="F49" s="98" t="s">
        <v>91</v>
      </c>
      <c r="G49" s="98" t="s">
        <v>93</v>
      </c>
      <c r="H49" s="48"/>
      <c r="I49" s="4"/>
      <c r="J49" s="98" t="s">
        <v>73</v>
      </c>
      <c r="K49" s="98" t="s">
        <v>74</v>
      </c>
      <c r="L49" s="98" t="s">
        <v>91</v>
      </c>
      <c r="M49" s="98" t="s">
        <v>94</v>
      </c>
      <c r="N49" s="4"/>
      <c r="O49" s="4"/>
      <c r="P49" s="98" t="s">
        <v>73</v>
      </c>
      <c r="Q49" s="98" t="s">
        <v>74</v>
      </c>
      <c r="R49" s="98" t="s">
        <v>91</v>
      </c>
      <c r="S49" s="98" t="s">
        <v>94</v>
      </c>
      <c r="T49" s="4"/>
      <c r="U49" s="4"/>
      <c r="V49" s="98" t="s">
        <v>95</v>
      </c>
      <c r="W49" s="98" t="s">
        <v>74</v>
      </c>
      <c r="X49" s="98" t="s">
        <v>91</v>
      </c>
      <c r="Y49" s="98" t="s">
        <v>94</v>
      </c>
      <c r="Z49" s="4"/>
      <c r="AA49" s="4"/>
      <c r="AB49" s="4"/>
      <c r="AC49" s="4"/>
      <c r="AD49" s="4"/>
    </row>
    <row r="50" spans="1:30" x14ac:dyDescent="0.25">
      <c r="A50" s="5"/>
      <c r="B50" s="46"/>
      <c r="C50" s="50" t="s">
        <v>70</v>
      </c>
      <c r="D50" s="169">
        <f>SUM(D51:D54)</f>
        <v>17667337.439999998</v>
      </c>
      <c r="E50" s="169">
        <f t="shared" ref="E50:F50" si="26">SUM(E51:E54)</f>
        <v>12769760.429999998</v>
      </c>
      <c r="F50" s="169">
        <f t="shared" si="26"/>
        <v>25666357.390000001</v>
      </c>
      <c r="G50" s="170">
        <f>D50+E50-F50</f>
        <v>4770740.4799999967</v>
      </c>
      <c r="H50" s="48"/>
      <c r="I50" s="4"/>
      <c r="J50" s="169">
        <f>SUM(J51:J54)</f>
        <v>12996011</v>
      </c>
      <c r="K50" s="169">
        <f t="shared" ref="K50:L50" si="27">SUM(K51:K54)</f>
        <v>12850000</v>
      </c>
      <c r="L50" s="169">
        <f t="shared" si="27"/>
        <v>12900000</v>
      </c>
      <c r="M50" s="170">
        <f>J50+K50-L50</f>
        <v>12946011</v>
      </c>
      <c r="N50" s="4"/>
      <c r="O50" s="4"/>
      <c r="P50" s="84">
        <f>SUM(P51:P54)</f>
        <v>4770740.43</v>
      </c>
      <c r="Q50" s="183">
        <f t="shared" ref="Q50:R50" si="28">SUM(Q51:Q54)</f>
        <v>19855902.989999998</v>
      </c>
      <c r="R50" s="183">
        <f t="shared" si="28"/>
        <v>15497698.452</v>
      </c>
      <c r="S50" s="51">
        <f>P50+Q50-R50</f>
        <v>9128944.9679999985</v>
      </c>
      <c r="T50" s="4"/>
      <c r="U50" s="4"/>
      <c r="V50" s="84">
        <f>SUM(V51:V54)</f>
        <v>9128944.9680000022</v>
      </c>
      <c r="W50" s="183">
        <f t="shared" ref="W50:X50" si="29">SUM(W51:W54)</f>
        <v>14025000</v>
      </c>
      <c r="X50" s="183">
        <f t="shared" si="29"/>
        <v>19991779</v>
      </c>
      <c r="Y50" s="51">
        <f>V50+W50-X50</f>
        <v>3162165.9680000022</v>
      </c>
      <c r="Z50" s="4"/>
      <c r="AA50" s="4"/>
      <c r="AB50" s="4"/>
      <c r="AC50" s="4"/>
      <c r="AD50" s="4"/>
    </row>
    <row r="51" spans="1:30" x14ac:dyDescent="0.25">
      <c r="A51" s="5"/>
      <c r="B51" s="46"/>
      <c r="C51" s="50" t="s">
        <v>71</v>
      </c>
      <c r="D51" s="84">
        <v>420858.82</v>
      </c>
      <c r="E51" s="84">
        <v>318577.34999999998</v>
      </c>
      <c r="F51" s="84">
        <v>0</v>
      </c>
      <c r="G51" s="51">
        <f t="shared" ref="G51:G54" si="30">D51+E51-F51</f>
        <v>739436.16999999993</v>
      </c>
      <c r="H51" s="48"/>
      <c r="I51" s="4"/>
      <c r="J51" s="171">
        <v>400000</v>
      </c>
      <c r="K51" s="171">
        <v>200000</v>
      </c>
      <c r="L51" s="171">
        <v>300000</v>
      </c>
      <c r="M51" s="170">
        <f t="shared" ref="M51:M54" si="31">J51+K51-L51</f>
        <v>300000</v>
      </c>
      <c r="N51" s="4"/>
      <c r="O51" s="4"/>
      <c r="P51" s="84">
        <v>739436.17</v>
      </c>
      <c r="Q51" s="183">
        <v>1186367.5099999998</v>
      </c>
      <c r="R51" s="183">
        <v>500000</v>
      </c>
      <c r="S51" s="51">
        <f>P51+Q51-R51</f>
        <v>1425803.6799999997</v>
      </c>
      <c r="T51" s="4"/>
      <c r="U51" s="4"/>
      <c r="V51" s="84">
        <v>1425803.6799999997</v>
      </c>
      <c r="W51" s="84">
        <v>300000</v>
      </c>
      <c r="X51" s="84">
        <v>1500000</v>
      </c>
      <c r="Y51" s="51">
        <f t="shared" ref="Y51:Y54" si="32">V51+W51-X51</f>
        <v>225803.6799999997</v>
      </c>
      <c r="Z51" s="4"/>
      <c r="AA51" s="4"/>
      <c r="AB51" s="4"/>
      <c r="AC51" s="4"/>
      <c r="AD51" s="4"/>
    </row>
    <row r="52" spans="1:30" x14ac:dyDescent="0.25">
      <c r="A52" s="5"/>
      <c r="B52" s="46"/>
      <c r="C52" s="50" t="s">
        <v>72</v>
      </c>
      <c r="D52" s="84">
        <v>16410326.85</v>
      </c>
      <c r="E52" s="84">
        <v>12008949.579999998</v>
      </c>
      <c r="F52" s="84">
        <v>25166532.390000001</v>
      </c>
      <c r="G52" s="51">
        <f t="shared" si="30"/>
        <v>3252744.0399999991</v>
      </c>
      <c r="H52" s="48"/>
      <c r="I52" s="4"/>
      <c r="J52" s="171">
        <v>11800000</v>
      </c>
      <c r="K52" s="171">
        <f>5000000+7200000</f>
        <v>12200000</v>
      </c>
      <c r="L52" s="171">
        <v>12000000</v>
      </c>
      <c r="M52" s="170">
        <f t="shared" si="31"/>
        <v>12000000</v>
      </c>
      <c r="N52" s="4"/>
      <c r="O52" s="4"/>
      <c r="P52" s="84">
        <v>3252743.99</v>
      </c>
      <c r="Q52" s="183">
        <v>17798728</v>
      </c>
      <c r="R52" s="183">
        <v>14540750.452</v>
      </c>
      <c r="S52" s="51">
        <f>P52+Q52-R52</f>
        <v>6510721.5380000025</v>
      </c>
      <c r="T52" s="4"/>
      <c r="U52" s="4"/>
      <c r="V52" s="84">
        <v>6510721.5380000025</v>
      </c>
      <c r="W52" s="84">
        <f>1000000+5000000+7200000</f>
        <v>13200000</v>
      </c>
      <c r="X52" s="183">
        <f>4948779+5000000+8000000</f>
        <v>17948779</v>
      </c>
      <c r="Y52" s="51">
        <f t="shared" si="32"/>
        <v>1761942.5380000025</v>
      </c>
      <c r="Z52" s="4"/>
      <c r="AA52" s="4"/>
      <c r="AB52" s="4"/>
      <c r="AC52" s="4"/>
      <c r="AD52" s="4"/>
    </row>
    <row r="53" spans="1:30" x14ac:dyDescent="0.25">
      <c r="A53" s="5"/>
      <c r="B53" s="46"/>
      <c r="C53" s="50" t="s">
        <v>88</v>
      </c>
      <c r="D53" s="84">
        <v>146011</v>
      </c>
      <c r="E53" s="84"/>
      <c r="F53" s="84"/>
      <c r="G53" s="51">
        <f t="shared" si="30"/>
        <v>146011</v>
      </c>
      <c r="H53" s="48"/>
      <c r="I53" s="4"/>
      <c r="J53" s="171">
        <f>+D53</f>
        <v>146011</v>
      </c>
      <c r="K53" s="171">
        <v>0</v>
      </c>
      <c r="L53" s="171">
        <v>0</v>
      </c>
      <c r="M53" s="170">
        <f t="shared" si="31"/>
        <v>146011</v>
      </c>
      <c r="N53" s="4"/>
      <c r="O53" s="4"/>
      <c r="P53" s="183">
        <v>146011</v>
      </c>
      <c r="Q53" s="183">
        <v>453989</v>
      </c>
      <c r="R53" s="183">
        <v>0</v>
      </c>
      <c r="S53" s="184">
        <f>P53+Q53-R53</f>
        <v>600000</v>
      </c>
      <c r="T53" s="4"/>
      <c r="U53" s="4"/>
      <c r="V53" s="84">
        <v>600000</v>
      </c>
      <c r="W53" s="84">
        <v>0</v>
      </c>
      <c r="X53" s="84">
        <v>0</v>
      </c>
      <c r="Y53" s="51">
        <f t="shared" si="32"/>
        <v>600000</v>
      </c>
      <c r="Z53" s="4"/>
      <c r="AA53" s="4"/>
      <c r="AB53" s="4"/>
      <c r="AC53" s="4"/>
      <c r="AD53" s="4"/>
    </row>
    <row r="54" spans="1:30" x14ac:dyDescent="0.25">
      <c r="A54" s="5"/>
      <c r="B54" s="46"/>
      <c r="C54" s="130" t="s">
        <v>89</v>
      </c>
      <c r="D54" s="84">
        <v>690140.77</v>
      </c>
      <c r="E54" s="84">
        <v>442233.5</v>
      </c>
      <c r="F54" s="84">
        <v>499825</v>
      </c>
      <c r="G54" s="51">
        <f t="shared" si="30"/>
        <v>632549.27</v>
      </c>
      <c r="H54" s="48"/>
      <c r="I54" s="4"/>
      <c r="J54" s="171">
        <v>650000</v>
      </c>
      <c r="K54" s="171">
        <v>450000</v>
      </c>
      <c r="L54" s="171">
        <v>600000</v>
      </c>
      <c r="M54" s="170">
        <f t="shared" si="31"/>
        <v>500000</v>
      </c>
      <c r="N54" s="4"/>
      <c r="O54" s="4"/>
      <c r="P54" s="84">
        <v>632549.27</v>
      </c>
      <c r="Q54" s="183">
        <v>416818.48</v>
      </c>
      <c r="R54" s="183">
        <v>456948</v>
      </c>
      <c r="S54" s="51">
        <f>P54+Q54-R54</f>
        <v>592419.75</v>
      </c>
      <c r="T54" s="4"/>
      <c r="U54" s="4"/>
      <c r="V54" s="84">
        <v>592419.75</v>
      </c>
      <c r="W54" s="84">
        <v>525000</v>
      </c>
      <c r="X54" s="84">
        <v>543000</v>
      </c>
      <c r="Y54" s="51">
        <f t="shared" si="32"/>
        <v>574419.75</v>
      </c>
      <c r="Z54" s="4"/>
      <c r="AA54" s="4"/>
      <c r="AB54" s="4"/>
      <c r="AC54" s="4"/>
      <c r="AD54" s="4"/>
    </row>
    <row r="55" spans="1:30" ht="10.5" customHeight="1" x14ac:dyDescent="0.25">
      <c r="A55" s="5"/>
      <c r="B55" s="46"/>
      <c r="C55" s="47"/>
      <c r="D55" s="48"/>
      <c r="E55" s="48"/>
      <c r="F55" s="48"/>
      <c r="G55" s="48"/>
      <c r="H55" s="48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x14ac:dyDescent="0.25">
      <c r="A56" s="5"/>
      <c r="B56" s="46"/>
      <c r="C56" s="97" t="s">
        <v>75</v>
      </c>
      <c r="D56" s="98" t="s">
        <v>76</v>
      </c>
      <c r="E56" s="98" t="s">
        <v>96</v>
      </c>
      <c r="F56" s="48"/>
      <c r="G56" s="48"/>
      <c r="H56" s="48"/>
      <c r="I56" s="49"/>
      <c r="J56" s="98" t="s">
        <v>97</v>
      </c>
      <c r="K56" s="48"/>
      <c r="L56" s="48"/>
      <c r="M56" s="48"/>
      <c r="N56" s="48"/>
      <c r="O56" s="49"/>
      <c r="P56" s="98" t="s">
        <v>98</v>
      </c>
      <c r="Q56" s="49"/>
      <c r="R56" s="49"/>
      <c r="S56" s="49"/>
      <c r="T56" s="49"/>
      <c r="U56" s="49"/>
      <c r="V56" s="98" t="s">
        <v>97</v>
      </c>
      <c r="W56" s="4"/>
      <c r="X56" s="4"/>
      <c r="Y56" s="4"/>
      <c r="Z56" s="4"/>
      <c r="AA56" s="4"/>
      <c r="AB56" s="4"/>
      <c r="AC56" s="4"/>
      <c r="AD56" s="4"/>
    </row>
    <row r="57" spans="1:30" x14ac:dyDescent="0.25">
      <c r="A57" s="5"/>
      <c r="B57" s="46"/>
      <c r="C57" s="50"/>
      <c r="D57" s="85">
        <v>66</v>
      </c>
      <c r="E57" s="85">
        <v>70</v>
      </c>
      <c r="F57" s="48"/>
      <c r="G57" s="48"/>
      <c r="H57" s="48"/>
      <c r="I57" s="49"/>
      <c r="J57" s="85">
        <v>81</v>
      </c>
      <c r="K57" s="48"/>
      <c r="L57" s="48"/>
      <c r="M57" s="48"/>
      <c r="N57" s="48"/>
      <c r="O57" s="49"/>
      <c r="P57" s="85">
        <v>65.400000000000006</v>
      </c>
      <c r="Q57" s="49"/>
      <c r="R57" s="49"/>
      <c r="S57" s="49"/>
      <c r="T57" s="49"/>
      <c r="U57" s="49"/>
      <c r="V57" s="85">
        <v>80</v>
      </c>
      <c r="W57" s="4"/>
      <c r="X57" s="4"/>
      <c r="Y57" s="4"/>
      <c r="Z57" s="4"/>
      <c r="AA57" s="4"/>
      <c r="AB57" s="4"/>
      <c r="AC57" s="4"/>
      <c r="AD57" s="4"/>
    </row>
    <row r="58" spans="1:30" x14ac:dyDescent="0.25">
      <c r="A58" s="5"/>
      <c r="B58" s="46"/>
      <c r="C58" s="47"/>
      <c r="D58" s="48"/>
      <c r="E58" s="48"/>
      <c r="F58" s="48"/>
      <c r="G58" s="48"/>
      <c r="H58" s="48"/>
      <c r="I58" s="49"/>
      <c r="J58" s="48"/>
      <c r="K58" s="48"/>
      <c r="L58" s="48"/>
      <c r="M58" s="48"/>
      <c r="N58" s="48"/>
      <c r="O58" s="49"/>
      <c r="P58" s="49"/>
      <c r="Q58" s="49"/>
      <c r="R58" s="49"/>
      <c r="S58" s="49"/>
      <c r="T58" s="49"/>
      <c r="U58" s="49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5">
      <c r="A59" s="5"/>
      <c r="B59" s="100" t="s">
        <v>92</v>
      </c>
      <c r="C59" s="99"/>
      <c r="D59" s="396"/>
      <c r="E59" s="396"/>
      <c r="F59" s="396"/>
      <c r="G59" s="396"/>
      <c r="H59" s="396"/>
      <c r="I59" s="396"/>
      <c r="J59" s="396"/>
      <c r="K59" s="396"/>
      <c r="L59" s="396"/>
      <c r="M59" s="396"/>
      <c r="N59" s="396"/>
      <c r="O59" s="396"/>
      <c r="P59" s="396"/>
      <c r="Q59" s="396"/>
      <c r="R59" s="396"/>
      <c r="S59" s="396"/>
      <c r="T59" s="396"/>
      <c r="U59" s="396"/>
      <c r="V59" s="150"/>
      <c r="W59" s="150"/>
      <c r="X59" s="150"/>
      <c r="Y59" s="150"/>
      <c r="Z59" s="150"/>
      <c r="AA59" s="150"/>
      <c r="AB59" s="151"/>
      <c r="AC59" s="4"/>
      <c r="AD59" s="4"/>
    </row>
    <row r="60" spans="1:30" x14ac:dyDescent="0.25">
      <c r="A60" s="5"/>
      <c r="B60" s="187" t="s">
        <v>152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1"/>
      <c r="AC60" s="4"/>
      <c r="AD60" s="4"/>
    </row>
    <row r="61" spans="1:30" x14ac:dyDescent="0.25">
      <c r="A61" s="5"/>
      <c r="B61" s="397" t="s">
        <v>105</v>
      </c>
      <c r="C61" s="398"/>
      <c r="D61" s="398"/>
      <c r="E61" s="398"/>
      <c r="F61" s="398"/>
      <c r="G61" s="398"/>
      <c r="H61" s="398"/>
      <c r="I61" s="398"/>
      <c r="J61" s="398"/>
      <c r="K61" s="398"/>
      <c r="L61" s="398"/>
      <c r="M61" s="398"/>
      <c r="N61" s="398"/>
      <c r="O61" s="398"/>
      <c r="P61" s="398"/>
      <c r="Q61" s="398"/>
      <c r="R61" s="398"/>
      <c r="S61" s="398"/>
      <c r="T61" s="398"/>
      <c r="U61" s="398"/>
      <c r="V61" s="120"/>
      <c r="W61" s="120"/>
      <c r="X61" s="120"/>
      <c r="Y61" s="120"/>
      <c r="Z61" s="120"/>
      <c r="AA61" s="120"/>
      <c r="AB61" s="121"/>
      <c r="AC61" s="4"/>
      <c r="AD61" s="4"/>
    </row>
    <row r="62" spans="1:30" x14ac:dyDescent="0.25">
      <c r="A62" s="5"/>
      <c r="B62" s="394" t="s">
        <v>106</v>
      </c>
      <c r="C62" s="395"/>
      <c r="D62" s="395"/>
      <c r="E62" s="395"/>
      <c r="F62" s="395"/>
      <c r="G62" s="395"/>
      <c r="H62" s="395"/>
      <c r="I62" s="395"/>
      <c r="J62" s="395"/>
      <c r="K62" s="395"/>
      <c r="L62" s="395"/>
      <c r="M62" s="395"/>
      <c r="N62" s="395"/>
      <c r="O62" s="395"/>
      <c r="P62" s="395"/>
      <c r="Q62" s="395"/>
      <c r="R62" s="395"/>
      <c r="S62" s="395"/>
      <c r="T62" s="395"/>
      <c r="U62" s="395"/>
      <c r="V62" s="120"/>
      <c r="W62" s="120"/>
      <c r="X62" s="120"/>
      <c r="Y62" s="120"/>
      <c r="Z62" s="120"/>
      <c r="AA62" s="120"/>
      <c r="AB62" s="121"/>
      <c r="AC62" s="4"/>
      <c r="AD62" s="4"/>
    </row>
    <row r="63" spans="1:30" x14ac:dyDescent="0.25">
      <c r="A63" s="5"/>
      <c r="B63" s="394" t="s">
        <v>151</v>
      </c>
      <c r="C63" s="395"/>
      <c r="D63" s="395"/>
      <c r="E63" s="395"/>
      <c r="F63" s="395"/>
      <c r="G63" s="395"/>
      <c r="H63" s="395"/>
      <c r="I63" s="395"/>
      <c r="J63" s="395"/>
      <c r="K63" s="395"/>
      <c r="L63" s="395"/>
      <c r="M63" s="395"/>
      <c r="N63" s="395"/>
      <c r="O63" s="395"/>
      <c r="P63" s="395"/>
      <c r="Q63" s="395"/>
      <c r="R63" s="395"/>
      <c r="S63" s="395"/>
      <c r="T63" s="395"/>
      <c r="U63" s="395"/>
      <c r="V63" s="120"/>
      <c r="W63" s="120"/>
      <c r="X63" s="120"/>
      <c r="Y63" s="120"/>
      <c r="Z63" s="120"/>
      <c r="AA63" s="120"/>
      <c r="AB63" s="121"/>
      <c r="AC63" s="4"/>
      <c r="AD63" s="4"/>
    </row>
    <row r="64" spans="1:30" x14ac:dyDescent="0.25">
      <c r="A64" s="5"/>
      <c r="B64" s="188" t="s">
        <v>109</v>
      </c>
      <c r="C64" s="189"/>
      <c r="D64" s="189"/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V64" s="120"/>
      <c r="W64" s="120"/>
      <c r="X64" s="120"/>
      <c r="Y64" s="120"/>
      <c r="Z64" s="120"/>
      <c r="AA64" s="120"/>
      <c r="AB64" s="121"/>
      <c r="AC64" s="4"/>
      <c r="AD64" s="4"/>
    </row>
    <row r="65" spans="1:30" x14ac:dyDescent="0.25">
      <c r="A65" s="5"/>
      <c r="B65" s="188" t="s">
        <v>107</v>
      </c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189"/>
      <c r="V65" s="120"/>
      <c r="W65" s="120"/>
      <c r="X65" s="120"/>
      <c r="Y65" s="120"/>
      <c r="Z65" s="120"/>
      <c r="AA65" s="120"/>
      <c r="AB65" s="121"/>
      <c r="AC65" s="4"/>
      <c r="AD65" s="4"/>
    </row>
    <row r="66" spans="1:30" x14ac:dyDescent="0.25">
      <c r="A66" s="5"/>
      <c r="B66" s="188" t="s">
        <v>108</v>
      </c>
      <c r="C66" s="189"/>
      <c r="D66" s="189"/>
      <c r="E66" s="189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89"/>
      <c r="T66" s="189"/>
      <c r="U66" s="189"/>
      <c r="V66" s="120"/>
      <c r="W66" s="120"/>
      <c r="X66" s="120"/>
      <c r="Y66" s="120"/>
      <c r="Z66" s="120"/>
      <c r="AA66" s="120"/>
      <c r="AB66" s="121"/>
      <c r="AC66" s="4"/>
      <c r="AD66" s="4"/>
    </row>
    <row r="67" spans="1:30" x14ac:dyDescent="0.25">
      <c r="A67" s="5"/>
      <c r="B67" s="188" t="s">
        <v>110</v>
      </c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89"/>
      <c r="T67" s="189"/>
      <c r="U67" s="189"/>
      <c r="V67" s="120"/>
      <c r="W67" s="120"/>
      <c r="X67" s="120"/>
      <c r="Y67" s="120"/>
      <c r="Z67" s="120"/>
      <c r="AA67" s="120"/>
      <c r="AB67" s="121"/>
      <c r="AC67" s="4"/>
      <c r="AD67" s="4"/>
    </row>
    <row r="68" spans="1:30" x14ac:dyDescent="0.25">
      <c r="A68" s="5"/>
      <c r="B68" s="155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20"/>
      <c r="W68" s="120"/>
      <c r="X68" s="120"/>
      <c r="Y68" s="120"/>
      <c r="Z68" s="120"/>
      <c r="AA68" s="120"/>
      <c r="AB68" s="121"/>
      <c r="AC68" s="4"/>
      <c r="AD68" s="4"/>
    </row>
    <row r="69" spans="1:30" x14ac:dyDescent="0.25">
      <c r="A69" s="5"/>
      <c r="B69" s="155" t="s">
        <v>153</v>
      </c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20"/>
      <c r="W69" s="120"/>
      <c r="X69" s="120"/>
      <c r="Y69" s="120"/>
      <c r="Z69" s="120"/>
      <c r="AA69" s="120"/>
      <c r="AB69" s="121"/>
      <c r="AC69" s="4"/>
      <c r="AD69" s="4"/>
    </row>
    <row r="70" spans="1:30" x14ac:dyDescent="0.25">
      <c r="A70" s="5"/>
      <c r="B70" s="188" t="s">
        <v>111</v>
      </c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20"/>
      <c r="W70" s="120"/>
      <c r="X70" s="120"/>
      <c r="Y70" s="120"/>
      <c r="Z70" s="120"/>
      <c r="AA70" s="120"/>
      <c r="AB70" s="121"/>
      <c r="AC70" s="4"/>
      <c r="AD70" s="4"/>
    </row>
    <row r="71" spans="1:30" x14ac:dyDescent="0.25">
      <c r="A71" s="5"/>
      <c r="B71" s="188" t="s">
        <v>113</v>
      </c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20"/>
      <c r="W71" s="120"/>
      <c r="X71" s="120"/>
      <c r="Y71" s="120"/>
      <c r="Z71" s="120"/>
      <c r="AA71" s="120"/>
      <c r="AB71" s="121"/>
      <c r="AC71" s="4"/>
      <c r="AD71" s="4"/>
    </row>
    <row r="72" spans="1:30" hidden="1" x14ac:dyDescent="0.25">
      <c r="A72" s="5"/>
      <c r="B72" s="155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20"/>
      <c r="W72" s="120"/>
      <c r="X72" s="120"/>
      <c r="Y72" s="120"/>
      <c r="Z72" s="120"/>
      <c r="AA72" s="120"/>
      <c r="AB72" s="121"/>
      <c r="AC72" s="4"/>
      <c r="AD72" s="4"/>
    </row>
    <row r="73" spans="1:30" hidden="1" x14ac:dyDescent="0.25">
      <c r="A73" s="5"/>
      <c r="B73" s="155"/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20"/>
      <c r="W73" s="120"/>
      <c r="X73" s="120"/>
      <c r="Y73" s="120"/>
      <c r="Z73" s="120"/>
      <c r="AA73" s="120"/>
      <c r="AB73" s="121"/>
      <c r="AC73" s="4"/>
      <c r="AD73" s="4"/>
    </row>
    <row r="74" spans="1:30" hidden="1" x14ac:dyDescent="0.25">
      <c r="A74" s="5"/>
      <c r="B74" s="155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20"/>
      <c r="W74" s="120"/>
      <c r="X74" s="120"/>
      <c r="Y74" s="120"/>
      <c r="Z74" s="120"/>
      <c r="AA74" s="120"/>
      <c r="AB74" s="121"/>
      <c r="AC74" s="4"/>
      <c r="AD74" s="4"/>
    </row>
    <row r="75" spans="1:30" hidden="1" x14ac:dyDescent="0.25">
      <c r="A75" s="5"/>
      <c r="B75" s="155"/>
      <c r="C75" s="154"/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20"/>
      <c r="W75" s="120"/>
      <c r="X75" s="120"/>
      <c r="Y75" s="120"/>
      <c r="Z75" s="120"/>
      <c r="AA75" s="120"/>
      <c r="AB75" s="121"/>
      <c r="AC75" s="4"/>
      <c r="AD75" s="4"/>
    </row>
    <row r="76" spans="1:30" hidden="1" x14ac:dyDescent="0.25">
      <c r="A76" s="5"/>
      <c r="B76" s="155"/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20"/>
      <c r="W76" s="120"/>
      <c r="X76" s="120"/>
      <c r="Y76" s="120"/>
      <c r="Z76" s="120"/>
      <c r="AA76" s="120"/>
      <c r="AB76" s="121"/>
      <c r="AC76" s="4"/>
      <c r="AD76" s="4"/>
    </row>
    <row r="77" spans="1:30" hidden="1" x14ac:dyDescent="0.25">
      <c r="A77" s="5"/>
      <c r="B77" s="155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20"/>
      <c r="W77" s="120"/>
      <c r="X77" s="120"/>
      <c r="Y77" s="120"/>
      <c r="Z77" s="120"/>
      <c r="AA77" s="120"/>
      <c r="AB77" s="121"/>
      <c r="AC77" s="4"/>
      <c r="AD77" s="4"/>
    </row>
    <row r="78" spans="1:30" hidden="1" x14ac:dyDescent="0.25">
      <c r="A78" s="5"/>
      <c r="B78" s="155"/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20"/>
      <c r="W78" s="120"/>
      <c r="X78" s="120"/>
      <c r="Y78" s="120"/>
      <c r="Z78" s="120"/>
      <c r="AA78" s="120"/>
      <c r="AB78" s="121"/>
      <c r="AC78" s="4"/>
      <c r="AD78" s="4"/>
    </row>
    <row r="79" spans="1:30" hidden="1" x14ac:dyDescent="0.25">
      <c r="A79" s="5"/>
      <c r="B79" s="155"/>
      <c r="C79" s="154"/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4"/>
      <c r="R79" s="154"/>
      <c r="S79" s="154"/>
      <c r="T79" s="154"/>
      <c r="U79" s="154"/>
      <c r="V79" s="120"/>
      <c r="W79" s="120"/>
      <c r="X79" s="120"/>
      <c r="Y79" s="120"/>
      <c r="Z79" s="120"/>
      <c r="AA79" s="120"/>
      <c r="AB79" s="121"/>
      <c r="AC79" s="4"/>
      <c r="AD79" s="4"/>
    </row>
    <row r="80" spans="1:30" hidden="1" x14ac:dyDescent="0.25">
      <c r="A80" s="5"/>
      <c r="B80" s="155"/>
      <c r="C80" s="154"/>
      <c r="D80" s="154"/>
      <c r="E80" s="154"/>
      <c r="F80" s="154"/>
      <c r="G80" s="154"/>
      <c r="H80" s="154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20"/>
      <c r="W80" s="120"/>
      <c r="X80" s="120"/>
      <c r="Y80" s="120"/>
      <c r="Z80" s="120"/>
      <c r="AA80" s="120"/>
      <c r="AB80" s="121"/>
      <c r="AC80" s="4"/>
      <c r="AD80" s="4"/>
    </row>
    <row r="81" spans="1:30" hidden="1" x14ac:dyDescent="0.25">
      <c r="A81" s="5"/>
      <c r="B81" s="155"/>
      <c r="C81" s="154"/>
      <c r="D81" s="154"/>
      <c r="E81" s="154"/>
      <c r="F81" s="154"/>
      <c r="G81" s="154"/>
      <c r="H81" s="154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20"/>
      <c r="W81" s="120"/>
      <c r="X81" s="120"/>
      <c r="Y81" s="120"/>
      <c r="Z81" s="120"/>
      <c r="AA81" s="120"/>
      <c r="AB81" s="121"/>
      <c r="AC81" s="4"/>
      <c r="AD81" s="4"/>
    </row>
    <row r="82" spans="1:30" hidden="1" x14ac:dyDescent="0.25">
      <c r="A82" s="5"/>
      <c r="B82" s="407"/>
      <c r="C82" s="405"/>
      <c r="D82" s="405"/>
      <c r="E82" s="405"/>
      <c r="F82" s="405"/>
      <c r="G82" s="405"/>
      <c r="H82" s="405"/>
      <c r="I82" s="405"/>
      <c r="J82" s="405"/>
      <c r="K82" s="405"/>
      <c r="L82" s="405"/>
      <c r="M82" s="405"/>
      <c r="N82" s="405"/>
      <c r="O82" s="405"/>
      <c r="P82" s="405"/>
      <c r="Q82" s="405"/>
      <c r="R82" s="405"/>
      <c r="S82" s="405"/>
      <c r="T82" s="405"/>
      <c r="U82" s="405"/>
      <c r="V82" s="120"/>
      <c r="W82" s="120"/>
      <c r="X82" s="120"/>
      <c r="Y82" s="120"/>
      <c r="Z82" s="120"/>
      <c r="AA82" s="120"/>
      <c r="AB82" s="121"/>
      <c r="AC82" s="4"/>
      <c r="AD82" s="4"/>
    </row>
    <row r="83" spans="1:30" x14ac:dyDescent="0.25">
      <c r="A83" s="5"/>
      <c r="B83" s="188" t="s">
        <v>112</v>
      </c>
      <c r="C83" s="90"/>
      <c r="D83" s="90"/>
      <c r="E83" s="9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20"/>
      <c r="W83" s="120"/>
      <c r="X83" s="120"/>
      <c r="Y83" s="120"/>
      <c r="Z83" s="120"/>
      <c r="AA83" s="120"/>
      <c r="AB83" s="121"/>
      <c r="AC83" s="4"/>
      <c r="AD83" s="4"/>
    </row>
    <row r="84" spans="1:30" x14ac:dyDescent="0.25">
      <c r="A84" s="5"/>
      <c r="B84" s="139"/>
      <c r="C84" s="136"/>
      <c r="D84" s="2"/>
      <c r="E84" s="2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20"/>
      <c r="W84" s="120"/>
      <c r="X84" s="120"/>
      <c r="Y84" s="120"/>
      <c r="Z84" s="120"/>
      <c r="AA84" s="120"/>
      <c r="AB84" s="121"/>
      <c r="AC84" s="4"/>
      <c r="AD84" s="4"/>
    </row>
    <row r="85" spans="1:30" x14ac:dyDescent="0.25">
      <c r="A85" s="5"/>
      <c r="B85" s="185" t="s">
        <v>114</v>
      </c>
      <c r="C85" s="122"/>
      <c r="D85" s="2"/>
      <c r="E85" s="2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20"/>
      <c r="W85" s="120"/>
      <c r="X85" s="120"/>
      <c r="Y85" s="120"/>
      <c r="Z85" s="120"/>
      <c r="AA85" s="120"/>
      <c r="AB85" s="121"/>
      <c r="AC85" s="4"/>
      <c r="AD85" s="4"/>
    </row>
    <row r="86" spans="1:30" x14ac:dyDescent="0.25">
      <c r="A86" s="5"/>
      <c r="B86" s="188" t="s">
        <v>115</v>
      </c>
      <c r="C86" s="122"/>
      <c r="D86" s="2"/>
      <c r="E86" s="2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20"/>
      <c r="W86" s="120"/>
      <c r="X86" s="120"/>
      <c r="Y86" s="120"/>
      <c r="Z86" s="120"/>
      <c r="AA86" s="120"/>
      <c r="AB86" s="121"/>
      <c r="AC86" s="4"/>
      <c r="AD86" s="4"/>
    </row>
    <row r="87" spans="1:30" x14ac:dyDescent="0.25">
      <c r="A87" s="5"/>
      <c r="B87" s="185"/>
      <c r="C87" s="122"/>
      <c r="D87" s="2"/>
      <c r="E87" s="2"/>
      <c r="F87" s="186"/>
      <c r="G87" s="186"/>
      <c r="H87" s="186"/>
      <c r="I87" s="186"/>
      <c r="J87" s="186"/>
      <c r="K87" s="186"/>
      <c r="L87" s="186"/>
      <c r="M87" s="186"/>
      <c r="N87" s="186"/>
      <c r="O87" s="186"/>
      <c r="P87" s="186"/>
      <c r="Q87" s="186"/>
      <c r="R87" s="186"/>
      <c r="S87" s="186"/>
      <c r="T87" s="186"/>
      <c r="U87" s="186"/>
      <c r="V87" s="120"/>
      <c r="W87" s="120"/>
      <c r="X87" s="120"/>
      <c r="Y87" s="120"/>
      <c r="Z87" s="120"/>
      <c r="AA87" s="120"/>
      <c r="AB87" s="121"/>
      <c r="AC87" s="4"/>
      <c r="AD87" s="4"/>
    </row>
    <row r="88" spans="1:30" x14ac:dyDescent="0.25">
      <c r="A88" s="5"/>
      <c r="B88" s="185" t="s">
        <v>154</v>
      </c>
      <c r="C88" s="122"/>
      <c r="D88" s="2"/>
      <c r="E88" s="2"/>
      <c r="F88" s="186"/>
      <c r="G88" s="186"/>
      <c r="H88" s="186"/>
      <c r="I88" s="186"/>
      <c r="J88" s="186"/>
      <c r="K88" s="186"/>
      <c r="L88" s="186"/>
      <c r="M88" s="186"/>
      <c r="N88" s="186"/>
      <c r="O88" s="186"/>
      <c r="P88" s="186"/>
      <c r="Q88" s="186"/>
      <c r="R88" s="186"/>
      <c r="S88" s="186"/>
      <c r="T88" s="186"/>
      <c r="U88" s="186"/>
      <c r="V88" s="120"/>
      <c r="W88" s="120"/>
      <c r="X88" s="120"/>
      <c r="Y88" s="120"/>
      <c r="Z88" s="120"/>
      <c r="AA88" s="120"/>
      <c r="AB88" s="121"/>
      <c r="AC88" s="4"/>
      <c r="AD88" s="4"/>
    </row>
    <row r="89" spans="1:30" x14ac:dyDescent="0.25">
      <c r="A89" s="5"/>
      <c r="B89" s="188" t="s">
        <v>155</v>
      </c>
      <c r="C89" s="122"/>
      <c r="D89" s="2"/>
      <c r="E89" s="2"/>
      <c r="F89" s="186"/>
      <c r="G89" s="186"/>
      <c r="H89" s="186"/>
      <c r="I89" s="186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86"/>
      <c r="U89" s="186"/>
      <c r="V89" s="120"/>
      <c r="W89" s="120"/>
      <c r="X89" s="120"/>
      <c r="Y89" s="120"/>
      <c r="Z89" s="120"/>
      <c r="AA89" s="120"/>
      <c r="AB89" s="121"/>
      <c r="AC89" s="4"/>
      <c r="AD89" s="4"/>
    </row>
    <row r="90" spans="1:30" x14ac:dyDescent="0.25">
      <c r="A90" s="5"/>
      <c r="B90" s="363" t="s">
        <v>156</v>
      </c>
      <c r="C90" s="131"/>
      <c r="D90" s="132"/>
      <c r="E90" s="132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52"/>
      <c r="W90" s="152"/>
      <c r="X90" s="152"/>
      <c r="Y90" s="152"/>
      <c r="Z90" s="152"/>
      <c r="AA90" s="152"/>
      <c r="AB90" s="153"/>
      <c r="AC90" s="4"/>
      <c r="AD90" s="4"/>
    </row>
    <row r="91" spans="1:30" x14ac:dyDescent="0.25">
      <c r="A91" s="86"/>
      <c r="B91" s="134"/>
      <c r="C91" s="133"/>
      <c r="D91" s="134"/>
      <c r="E91" s="134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4"/>
      <c r="W91" s="4"/>
      <c r="X91" s="4"/>
      <c r="Y91" s="4"/>
      <c r="Z91" s="4"/>
      <c r="AA91" s="4"/>
      <c r="AB91" s="4"/>
      <c r="AC91" s="4"/>
      <c r="AD91" s="4"/>
    </row>
    <row r="92" spans="1:30" x14ac:dyDescent="0.25">
      <c r="A92" s="86"/>
      <c r="B92" s="134"/>
      <c r="C92" s="133"/>
      <c r="D92" s="134"/>
      <c r="E92" s="134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4"/>
      <c r="W92" s="4"/>
      <c r="X92" s="4"/>
      <c r="Y92" s="4"/>
      <c r="Z92" s="4"/>
      <c r="AA92" s="4"/>
      <c r="AB92" s="4"/>
      <c r="AC92" s="4"/>
      <c r="AD92" s="4"/>
    </row>
    <row r="93" spans="1:30" x14ac:dyDescent="0.25">
      <c r="A93" s="5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4"/>
      <c r="W93" s="4"/>
      <c r="X93" s="4"/>
      <c r="Y93" s="4"/>
      <c r="Z93" s="4"/>
      <c r="AA93" s="4"/>
      <c r="AB93" s="4"/>
      <c r="AC93" s="4"/>
      <c r="AD93" s="4"/>
    </row>
    <row r="94" spans="1:30" x14ac:dyDescent="0.25">
      <c r="A94" s="5"/>
      <c r="B94" s="52" t="s">
        <v>81</v>
      </c>
      <c r="C94" s="119">
        <v>44074</v>
      </c>
      <c r="D94" s="52" t="s">
        <v>77</v>
      </c>
      <c r="E94" s="405" t="s">
        <v>116</v>
      </c>
      <c r="F94" s="405"/>
      <c r="G94" s="405"/>
      <c r="H94" s="52"/>
      <c r="I94" s="52" t="s">
        <v>78</v>
      </c>
      <c r="J94" s="406" t="s">
        <v>117</v>
      </c>
      <c r="K94" s="406"/>
      <c r="L94" s="406"/>
      <c r="M94" s="406"/>
      <c r="N94" s="52"/>
      <c r="O94" s="52"/>
      <c r="P94" s="52"/>
      <c r="Q94" s="52"/>
      <c r="R94" s="52"/>
      <c r="S94" s="52"/>
      <c r="T94" s="52"/>
      <c r="U94" s="52"/>
      <c r="V94" s="4"/>
      <c r="W94" s="4"/>
      <c r="X94" s="4"/>
      <c r="Y94" s="4"/>
      <c r="Z94" s="4"/>
      <c r="AA94" s="4"/>
      <c r="AB94" s="4"/>
      <c r="AC94" s="4"/>
      <c r="AD94" s="4"/>
    </row>
    <row r="95" spans="1:30" ht="7.5" customHeight="1" x14ac:dyDescent="0.25">
      <c r="A95" s="5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4"/>
      <c r="W95" s="4"/>
      <c r="X95" s="4"/>
      <c r="Y95" s="4"/>
      <c r="Z95" s="4"/>
      <c r="AA95" s="4"/>
      <c r="AB95" s="4"/>
      <c r="AC95" s="4"/>
      <c r="AD95" s="4"/>
    </row>
    <row r="96" spans="1:30" x14ac:dyDescent="0.25">
      <c r="A96" s="5"/>
      <c r="B96" s="52"/>
      <c r="C96" s="52"/>
      <c r="D96" s="52" t="s">
        <v>80</v>
      </c>
      <c r="E96" s="54"/>
      <c r="F96" s="54"/>
      <c r="G96" s="54"/>
      <c r="H96" s="52"/>
      <c r="I96" s="52" t="s">
        <v>80</v>
      </c>
      <c r="J96" s="53"/>
      <c r="K96" s="53"/>
      <c r="L96" s="53"/>
      <c r="M96" s="53"/>
      <c r="N96" s="52"/>
      <c r="O96" s="52"/>
      <c r="P96" s="52"/>
      <c r="Q96" s="52"/>
      <c r="R96" s="52"/>
      <c r="S96" s="52"/>
      <c r="T96" s="52"/>
      <c r="U96" s="52"/>
      <c r="V96" s="4"/>
      <c r="W96" s="4"/>
      <c r="X96" s="4"/>
      <c r="Y96" s="4"/>
      <c r="Z96" s="4"/>
      <c r="AA96" s="4"/>
      <c r="AB96" s="4"/>
      <c r="AC96" s="4"/>
      <c r="AD96" s="4"/>
    </row>
    <row r="97" spans="1:30" x14ac:dyDescent="0.25">
      <c r="A97" s="5"/>
      <c r="B97" s="52"/>
      <c r="C97" s="52"/>
      <c r="D97" s="52"/>
      <c r="E97" s="54"/>
      <c r="F97" s="54"/>
      <c r="G97" s="54"/>
      <c r="H97" s="52"/>
      <c r="I97" s="52"/>
      <c r="J97" s="53"/>
      <c r="K97" s="53"/>
      <c r="L97" s="53"/>
      <c r="M97" s="53"/>
      <c r="N97" s="52"/>
      <c r="O97" s="52"/>
      <c r="P97" s="52"/>
      <c r="Q97" s="52"/>
      <c r="R97" s="52"/>
      <c r="S97" s="52"/>
      <c r="T97" s="52"/>
      <c r="U97" s="52"/>
      <c r="V97" s="4"/>
      <c r="W97" s="4"/>
      <c r="X97" s="4"/>
      <c r="Y97" s="4"/>
      <c r="Z97" s="4"/>
      <c r="AA97" s="4"/>
      <c r="AB97" s="4"/>
      <c r="AC97" s="4"/>
      <c r="AD97" s="4"/>
    </row>
    <row r="98" spans="1:30" x14ac:dyDescent="0.25">
      <c r="A98" s="5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4"/>
      <c r="W98" s="4"/>
      <c r="X98" s="4"/>
      <c r="Y98" s="4"/>
      <c r="Z98" s="4"/>
      <c r="AA98" s="4"/>
      <c r="AB98" s="4"/>
      <c r="AC98" s="4"/>
      <c r="AD98" s="4"/>
    </row>
    <row r="99" spans="1:30" x14ac:dyDescent="0.25">
      <c r="A99" s="5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4"/>
      <c r="W99" s="4"/>
      <c r="X99" s="4"/>
      <c r="Y99" s="4"/>
      <c r="Z99" s="4"/>
      <c r="AA99" s="4"/>
      <c r="AB99" s="4"/>
      <c r="AC99" s="4"/>
      <c r="AD99" s="4"/>
    </row>
    <row r="100" spans="1:30" hidden="1" x14ac:dyDescent="0.25">
      <c r="AC100" s="3"/>
      <c r="AD100" s="3"/>
    </row>
    <row r="101" spans="1:30" hidden="1" x14ac:dyDescent="0.25"/>
    <row r="102" spans="1:30" hidden="1" x14ac:dyDescent="0.25"/>
    <row r="103" spans="1:30" hidden="1" x14ac:dyDescent="0.25"/>
    <row r="104" spans="1:30" hidden="1" x14ac:dyDescent="0.25"/>
    <row r="105" spans="1:30" hidden="1" x14ac:dyDescent="0.25"/>
    <row r="106" spans="1:30" hidden="1" x14ac:dyDescent="0.25"/>
    <row r="107" spans="1:30" hidden="1" x14ac:dyDescent="0.25"/>
    <row r="108" spans="1:30" hidden="1" x14ac:dyDescent="0.25"/>
    <row r="109" spans="1:30" hidden="1" x14ac:dyDescent="0.25"/>
    <row r="110" spans="1:30" hidden="1" x14ac:dyDescent="0.25"/>
    <row r="111" spans="1:30" hidden="1" x14ac:dyDescent="0.25"/>
    <row r="112" spans="1:30" hidden="1" x14ac:dyDescent="0.25"/>
    <row r="113" hidden="1" x14ac:dyDescent="0.25"/>
    <row r="114" hidden="1" x14ac:dyDescent="0.25"/>
    <row r="115" hidden="1" x14ac:dyDescent="0.25"/>
    <row r="116" ht="15" hidden="1" customHeight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t="15" hidden="1" customHeight="1" x14ac:dyDescent="0.25"/>
    <row r="131" ht="15" hidden="1" customHeight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</sheetData>
  <mergeCells count="65">
    <mergeCell ref="AB25:AB27"/>
    <mergeCell ref="V26:X26"/>
    <mergeCell ref="AA26:AA27"/>
    <mergeCell ref="AB10:AB14"/>
    <mergeCell ref="V11:Y11"/>
    <mergeCell ref="V12:AA12"/>
    <mergeCell ref="V13:X13"/>
    <mergeCell ref="AA13:AA14"/>
    <mergeCell ref="Y26:Y27"/>
    <mergeCell ref="Z26:Z27"/>
    <mergeCell ref="V10:AA10"/>
    <mergeCell ref="V25:AA25"/>
    <mergeCell ref="Y13:Y14"/>
    <mergeCell ref="Z13:Z14"/>
    <mergeCell ref="E94:G94"/>
    <mergeCell ref="J94:M94"/>
    <mergeCell ref="B63:U63"/>
    <mergeCell ref="B82:U82"/>
    <mergeCell ref="D4:U4"/>
    <mergeCell ref="C43:C44"/>
    <mergeCell ref="C46:C47"/>
    <mergeCell ref="C26:C27"/>
    <mergeCell ref="D12:I12"/>
    <mergeCell ref="D10:I10"/>
    <mergeCell ref="D11:G11"/>
    <mergeCell ref="C10:C13"/>
    <mergeCell ref="D13:F13"/>
    <mergeCell ref="H26:H27"/>
    <mergeCell ref="I26:I27"/>
    <mergeCell ref="S13:S14"/>
    <mergeCell ref="B62:U62"/>
    <mergeCell ref="D59:U59"/>
    <mergeCell ref="B61:U61"/>
    <mergeCell ref="B26:B27"/>
    <mergeCell ref="O13:O14"/>
    <mergeCell ref="J25:O25"/>
    <mergeCell ref="J26:L26"/>
    <mergeCell ref="M26:M27"/>
    <mergeCell ref="N26:N27"/>
    <mergeCell ref="O26:O27"/>
    <mergeCell ref="G13:G14"/>
    <mergeCell ref="H13:H14"/>
    <mergeCell ref="T13:T14"/>
    <mergeCell ref="U13:U14"/>
    <mergeCell ref="P25:U25"/>
    <mergeCell ref="P26:R26"/>
    <mergeCell ref="D25:I25"/>
    <mergeCell ref="D26:F26"/>
    <mergeCell ref="G26:G27"/>
    <mergeCell ref="B10:B13"/>
    <mergeCell ref="P10:U10"/>
    <mergeCell ref="P11:S11"/>
    <mergeCell ref="P12:U12"/>
    <mergeCell ref="P13:R13"/>
    <mergeCell ref="S26:S27"/>
    <mergeCell ref="T26:T27"/>
    <mergeCell ref="U26:U27"/>
    <mergeCell ref="D8:V8"/>
    <mergeCell ref="J10:O10"/>
    <mergeCell ref="J11:M11"/>
    <mergeCell ref="J12:O12"/>
    <mergeCell ref="J13:L13"/>
    <mergeCell ref="M13:M14"/>
    <mergeCell ref="N13:N14"/>
    <mergeCell ref="I13:I14"/>
  </mergeCells>
  <conditionalFormatting sqref="AB15:AB25">
    <cfRule type="cellIs" dxfId="3" priority="13" operator="equal">
      <formula>0</formula>
    </cfRule>
    <cfRule type="containsErrors" dxfId="2" priority="14">
      <formula>ISERROR(AB15)</formula>
    </cfRule>
  </conditionalFormatting>
  <conditionalFormatting sqref="AB28:AB41">
    <cfRule type="cellIs" dxfId="1" priority="1" operator="equal">
      <formula>0</formula>
    </cfRule>
    <cfRule type="containsErrors" dxfId="0" priority="2">
      <formula>ISERROR(AB28)</formula>
    </cfRule>
  </conditionalFormatting>
  <pageMargins left="0.25" right="0.25" top="0.75" bottom="0.75" header="0.3" footer="0.3"/>
  <pageSetup paperSize="9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03"/>
  <sheetViews>
    <sheetView workbookViewId="0">
      <pane xSplit="1" ySplit="3" topLeftCell="K4" activePane="bottomRight" state="frozen"/>
      <selection pane="topRight" activeCell="B1" sqref="B1"/>
      <selection pane="bottomLeft" activeCell="A4" sqref="A4"/>
      <selection pane="bottomRight" activeCell="T99" sqref="T99"/>
    </sheetView>
  </sheetViews>
  <sheetFormatPr defaultRowHeight="15" x14ac:dyDescent="0.25"/>
  <cols>
    <col min="1" max="1" width="35.85546875" customWidth="1"/>
    <col min="2" max="2" width="10.5703125" bestFit="1" customWidth="1"/>
    <col min="3" max="4" width="10.5703125" customWidth="1"/>
    <col min="5" max="5" width="1" customWidth="1"/>
    <col min="6" max="8" width="10.5703125" customWidth="1"/>
    <col min="9" max="9" width="0.5703125" customWidth="1"/>
    <col min="10" max="12" width="13" style="357" customWidth="1"/>
    <col min="13" max="13" width="2.140625" customWidth="1"/>
    <col min="14" max="14" width="9.140625" customWidth="1"/>
    <col min="15" max="15" width="11.42578125" customWidth="1"/>
    <col min="16" max="16" width="9.140625" customWidth="1"/>
    <col min="17" max="17" width="2" customWidth="1"/>
    <col min="18" max="18" width="10.5703125" bestFit="1" customWidth="1"/>
    <col min="19" max="19" width="9.140625" customWidth="1"/>
    <col min="20" max="20" width="10.5703125" customWidth="1"/>
    <col min="21" max="21" width="2.28515625" customWidth="1"/>
    <col min="22" max="22" width="10.5703125" bestFit="1" customWidth="1"/>
    <col min="23" max="23" width="9.5703125" bestFit="1" customWidth="1"/>
    <col min="24" max="24" width="10.85546875" bestFit="1" customWidth="1"/>
    <col min="25" max="25" width="5.5703125" customWidth="1"/>
    <col min="26" max="27" width="10.5703125" bestFit="1" customWidth="1"/>
  </cols>
  <sheetData>
    <row r="1" spans="1:26" s="192" customFormat="1" x14ac:dyDescent="0.25">
      <c r="A1" s="190"/>
      <c r="B1" s="191"/>
      <c r="C1" s="191"/>
      <c r="D1" s="191"/>
      <c r="E1" s="191"/>
      <c r="F1" s="191"/>
      <c r="G1" s="191"/>
      <c r="J1" s="193"/>
      <c r="K1" s="193"/>
      <c r="L1" s="193"/>
      <c r="P1"/>
      <c r="Q1"/>
    </row>
    <row r="2" spans="1:26" s="192" customFormat="1" ht="21" thickBot="1" x14ac:dyDescent="0.35">
      <c r="A2" s="190"/>
      <c r="B2" s="422" t="s">
        <v>118</v>
      </c>
      <c r="C2" s="422"/>
      <c r="D2" s="422"/>
      <c r="E2" s="194"/>
      <c r="F2" s="423" t="s">
        <v>119</v>
      </c>
      <c r="G2" s="423"/>
      <c r="H2" s="423"/>
      <c r="J2" s="424" t="s">
        <v>120</v>
      </c>
      <c r="K2" s="424"/>
      <c r="L2" s="424"/>
      <c r="N2" s="423" t="s">
        <v>121</v>
      </c>
      <c r="O2" s="423"/>
      <c r="P2" s="423"/>
      <c r="Q2" s="195"/>
      <c r="R2" s="423" t="s">
        <v>122</v>
      </c>
      <c r="S2" s="423"/>
      <c r="T2" s="423"/>
      <c r="V2" s="423" t="s">
        <v>123</v>
      </c>
      <c r="W2" s="423"/>
      <c r="X2" s="423"/>
    </row>
    <row r="3" spans="1:26" s="192" customFormat="1" ht="15.75" thickBot="1" x14ac:dyDescent="0.3">
      <c r="A3" s="196" t="s">
        <v>124</v>
      </c>
      <c r="B3" s="197" t="s">
        <v>41</v>
      </c>
      <c r="C3" s="198" t="s">
        <v>125</v>
      </c>
      <c r="D3" s="199" t="s">
        <v>126</v>
      </c>
      <c r="E3" s="194"/>
      <c r="F3" s="200" t="s">
        <v>41</v>
      </c>
      <c r="G3" s="201" t="s">
        <v>125</v>
      </c>
      <c r="H3" s="202" t="s">
        <v>126</v>
      </c>
      <c r="J3" s="203" t="s">
        <v>41</v>
      </c>
      <c r="K3" s="204" t="s">
        <v>125</v>
      </c>
      <c r="L3" s="205" t="s">
        <v>126</v>
      </c>
      <c r="N3" s="200" t="s">
        <v>41</v>
      </c>
      <c r="O3" s="201" t="s">
        <v>125</v>
      </c>
      <c r="P3" s="202" t="s">
        <v>126</v>
      </c>
      <c r="Q3" s="206"/>
      <c r="R3" s="200" t="s">
        <v>41</v>
      </c>
      <c r="S3" s="201" t="s">
        <v>125</v>
      </c>
      <c r="T3" s="202" t="s">
        <v>126</v>
      </c>
      <c r="V3" s="200" t="s">
        <v>41</v>
      </c>
      <c r="W3" s="201" t="s">
        <v>125</v>
      </c>
      <c r="X3" s="202" t="s">
        <v>126</v>
      </c>
    </row>
    <row r="4" spans="1:26" s="192" customFormat="1" ht="15.75" thickBot="1" x14ac:dyDescent="0.3">
      <c r="A4" s="207" t="s">
        <v>127</v>
      </c>
      <c r="B4" s="208" t="s">
        <v>128</v>
      </c>
      <c r="C4" s="209" t="s">
        <v>129</v>
      </c>
      <c r="D4" s="210" t="s">
        <v>128</v>
      </c>
      <c r="E4" s="211"/>
      <c r="F4" s="212" t="s">
        <v>128</v>
      </c>
      <c r="G4" s="213" t="s">
        <v>129</v>
      </c>
      <c r="H4" s="214" t="s">
        <v>128</v>
      </c>
      <c r="J4" s="215" t="s">
        <v>128</v>
      </c>
      <c r="K4" s="216" t="s">
        <v>129</v>
      </c>
      <c r="L4" s="217" t="s">
        <v>128</v>
      </c>
      <c r="N4" s="212" t="s">
        <v>128</v>
      </c>
      <c r="O4" s="213" t="s">
        <v>129</v>
      </c>
      <c r="P4" s="214" t="s">
        <v>128</v>
      </c>
      <c r="R4" s="212" t="s">
        <v>128</v>
      </c>
      <c r="S4" s="213" t="s">
        <v>129</v>
      </c>
      <c r="T4" s="214" t="s">
        <v>128</v>
      </c>
      <c r="V4" s="212" t="s">
        <v>128</v>
      </c>
      <c r="W4" s="213" t="s">
        <v>129</v>
      </c>
      <c r="X4" s="214" t="s">
        <v>128</v>
      </c>
      <c r="Z4" s="195"/>
    </row>
    <row r="5" spans="1:26" s="192" customFormat="1" x14ac:dyDescent="0.25">
      <c r="A5" s="218" t="s">
        <v>130</v>
      </c>
      <c r="B5" s="219">
        <f t="shared" ref="B5:D5" si="0">SUM(B6:B11)</f>
        <v>9607955.4100000001</v>
      </c>
      <c r="C5" s="220">
        <f t="shared" si="0"/>
        <v>416004.08999999997</v>
      </c>
      <c r="D5" s="221">
        <f t="shared" si="0"/>
        <v>9191951.3200000003</v>
      </c>
      <c r="E5" s="222"/>
      <c r="F5" s="223">
        <f>F6+SUM(F8:F11)</f>
        <v>7700</v>
      </c>
      <c r="G5" s="224">
        <f>G6+SUM(G8:G11)</f>
        <v>0</v>
      </c>
      <c r="H5" s="225">
        <f>H6+SUM(H8:H11)</f>
        <v>7700</v>
      </c>
      <c r="J5" s="226">
        <f t="shared" ref="J5:L5" si="1">SUM(J6:J11)</f>
        <v>8923948.4100000001</v>
      </c>
      <c r="K5" s="227">
        <f t="shared" si="1"/>
        <v>483757.1</v>
      </c>
      <c r="L5" s="228">
        <f t="shared" si="1"/>
        <v>8440191.3100000005</v>
      </c>
      <c r="N5" s="223">
        <f>SUM(N6:N11)</f>
        <v>8800</v>
      </c>
      <c r="O5" s="224">
        <f>SUM(O6:O11)</f>
        <v>600</v>
      </c>
      <c r="P5" s="225">
        <f>SUM(P6:P11)</f>
        <v>8200</v>
      </c>
      <c r="R5" s="229">
        <f>SUM(R6:R11)</f>
        <v>8460000</v>
      </c>
      <c r="S5" s="230">
        <f>SUM(S6:S11)</f>
        <v>400000</v>
      </c>
      <c r="T5" s="231">
        <f>SUM(T6:T11)</f>
        <v>8060000</v>
      </c>
      <c r="V5" s="229">
        <f>SUM(V6:V11)</f>
        <v>9920000</v>
      </c>
      <c r="W5" s="230">
        <f>SUM(W6:W11)</f>
        <v>50000</v>
      </c>
      <c r="X5" s="231">
        <f>SUM(X6:X11)</f>
        <v>9870000</v>
      </c>
      <c r="Z5" s="195"/>
    </row>
    <row r="6" spans="1:26" s="192" customFormat="1" x14ac:dyDescent="0.25">
      <c r="A6" s="232" t="s">
        <v>52</v>
      </c>
      <c r="B6" s="233">
        <v>9387494.8100000005</v>
      </c>
      <c r="C6" s="234">
        <v>416004.08999999997</v>
      </c>
      <c r="D6" s="235">
        <v>8971490.7200000007</v>
      </c>
      <c r="E6" s="236"/>
      <c r="F6" s="237">
        <v>7000</v>
      </c>
      <c r="G6" s="238">
        <v>0</v>
      </c>
      <c r="H6" s="239">
        <v>7000</v>
      </c>
      <c r="J6" s="240">
        <f>+K6+L6</f>
        <v>8771641.9000000004</v>
      </c>
      <c r="K6" s="241">
        <v>483757.1</v>
      </c>
      <c r="L6" s="242">
        <v>8287884.7999999998</v>
      </c>
      <c r="N6" s="237">
        <f t="shared" ref="N6:N11" si="2">+O6+P6</f>
        <v>8600</v>
      </c>
      <c r="O6" s="238">
        <v>600</v>
      </c>
      <c r="P6" s="239">
        <v>8000</v>
      </c>
      <c r="R6" s="237">
        <f t="shared" ref="R6:R11" si="3">+S6+T6</f>
        <v>8400000</v>
      </c>
      <c r="S6" s="238">
        <v>400000</v>
      </c>
      <c r="T6" s="239">
        <v>8000000</v>
      </c>
      <c r="V6" s="237">
        <f t="shared" ref="V6:V11" si="4">+W6+X6</f>
        <v>9120000</v>
      </c>
      <c r="W6" s="243">
        <v>50000</v>
      </c>
      <c r="X6" s="244">
        <f>8570000+350000+150000</f>
        <v>9070000</v>
      </c>
      <c r="Y6" s="192" t="s">
        <v>131</v>
      </c>
      <c r="Z6" s="195"/>
    </row>
    <row r="7" spans="1:26" s="192" customFormat="1" ht="30" x14ac:dyDescent="0.25">
      <c r="A7" s="245" t="s">
        <v>132</v>
      </c>
      <c r="B7" s="233">
        <v>0</v>
      </c>
      <c r="C7" s="234">
        <v>0</v>
      </c>
      <c r="D7" s="235">
        <v>0</v>
      </c>
      <c r="E7" s="236"/>
      <c r="F7" s="237"/>
      <c r="G7" s="238"/>
      <c r="H7" s="239"/>
      <c r="J7" s="240">
        <f t="shared" ref="J7:J11" si="5">+K7+L7</f>
        <v>0</v>
      </c>
      <c r="K7" s="241">
        <v>0</v>
      </c>
      <c r="L7" s="242">
        <v>0</v>
      </c>
      <c r="N7" s="237">
        <f t="shared" si="2"/>
        <v>0</v>
      </c>
      <c r="O7" s="238"/>
      <c r="P7" s="239"/>
      <c r="R7" s="237">
        <f t="shared" si="3"/>
        <v>0</v>
      </c>
      <c r="S7" s="238"/>
      <c r="T7" s="239"/>
      <c r="V7" s="237">
        <f t="shared" si="4"/>
        <v>0</v>
      </c>
      <c r="W7" s="238"/>
      <c r="X7" s="239"/>
      <c r="Z7" s="195"/>
    </row>
    <row r="8" spans="1:26" s="192" customFormat="1" ht="30" x14ac:dyDescent="0.25">
      <c r="A8" s="245" t="s">
        <v>133</v>
      </c>
      <c r="B8" s="233">
        <v>0</v>
      </c>
      <c r="C8" s="234">
        <v>0</v>
      </c>
      <c r="D8" s="235">
        <v>0</v>
      </c>
      <c r="E8" s="236"/>
      <c r="F8" s="237">
        <v>500</v>
      </c>
      <c r="G8" s="238">
        <v>0</v>
      </c>
      <c r="H8" s="239">
        <v>500</v>
      </c>
      <c r="J8" s="240">
        <f t="shared" si="5"/>
        <v>0</v>
      </c>
      <c r="K8" s="241">
        <v>0</v>
      </c>
      <c r="L8" s="242">
        <v>0</v>
      </c>
      <c r="N8" s="237">
        <f t="shared" si="2"/>
        <v>0</v>
      </c>
      <c r="O8" s="238"/>
      <c r="P8" s="239">
        <v>0</v>
      </c>
      <c r="R8" s="237">
        <f t="shared" si="3"/>
        <v>0</v>
      </c>
      <c r="S8" s="238"/>
      <c r="T8" s="239"/>
      <c r="V8" s="237">
        <f t="shared" si="4"/>
        <v>0</v>
      </c>
      <c r="W8" s="238"/>
      <c r="X8" s="239"/>
      <c r="Z8" s="195"/>
    </row>
    <row r="9" spans="1:26" s="192" customFormat="1" x14ac:dyDescent="0.25">
      <c r="A9" s="245" t="s">
        <v>46</v>
      </c>
      <c r="B9" s="233">
        <v>0</v>
      </c>
      <c r="C9" s="234">
        <v>0</v>
      </c>
      <c r="D9" s="235">
        <v>0</v>
      </c>
      <c r="E9" s="236"/>
      <c r="F9" s="237"/>
      <c r="G9" s="238">
        <v>0</v>
      </c>
      <c r="H9" s="239"/>
      <c r="J9" s="240">
        <f t="shared" si="5"/>
        <v>0</v>
      </c>
      <c r="K9" s="241">
        <v>0</v>
      </c>
      <c r="L9" s="242">
        <v>0</v>
      </c>
      <c r="N9" s="237">
        <f t="shared" si="2"/>
        <v>0</v>
      </c>
      <c r="O9" s="238"/>
      <c r="P9" s="239"/>
      <c r="R9" s="237">
        <f t="shared" si="3"/>
        <v>0</v>
      </c>
      <c r="S9" s="238"/>
      <c r="T9" s="239"/>
      <c r="V9" s="237">
        <f t="shared" si="4"/>
        <v>0</v>
      </c>
      <c r="W9" s="238"/>
      <c r="X9" s="239"/>
      <c r="Z9" s="195"/>
    </row>
    <row r="10" spans="1:26" s="192" customFormat="1" x14ac:dyDescent="0.25">
      <c r="A10" s="245" t="s">
        <v>47</v>
      </c>
      <c r="B10" s="233">
        <v>0</v>
      </c>
      <c r="C10" s="234">
        <v>0</v>
      </c>
      <c r="D10" s="235">
        <v>0</v>
      </c>
      <c r="E10" s="236"/>
      <c r="F10" s="246">
        <v>200</v>
      </c>
      <c r="G10" s="247">
        <v>0</v>
      </c>
      <c r="H10" s="248">
        <v>200</v>
      </c>
      <c r="J10" s="240">
        <f t="shared" si="5"/>
        <v>0</v>
      </c>
      <c r="K10" s="241">
        <v>0</v>
      </c>
      <c r="L10" s="242">
        <v>0</v>
      </c>
      <c r="N10" s="237">
        <f t="shared" si="2"/>
        <v>200</v>
      </c>
      <c r="O10" s="238"/>
      <c r="P10" s="239">
        <v>200</v>
      </c>
      <c r="R10" s="237">
        <f t="shared" si="3"/>
        <v>0</v>
      </c>
      <c r="S10" s="238"/>
      <c r="T10" s="239"/>
      <c r="V10" s="237">
        <f t="shared" si="4"/>
        <v>500000</v>
      </c>
      <c r="W10" s="238"/>
      <c r="X10" s="239">
        <v>500000</v>
      </c>
      <c r="Z10" s="195"/>
    </row>
    <row r="11" spans="1:26" s="192" customFormat="1" x14ac:dyDescent="0.25">
      <c r="A11" s="232" t="s">
        <v>2</v>
      </c>
      <c r="B11" s="233">
        <v>220460.6</v>
      </c>
      <c r="C11" s="234">
        <v>0</v>
      </c>
      <c r="D11" s="235">
        <v>220460.6</v>
      </c>
      <c r="E11" s="236"/>
      <c r="F11" s="246"/>
      <c r="G11" s="247"/>
      <c r="H11" s="248"/>
      <c r="J11" s="240">
        <f t="shared" si="5"/>
        <v>152306.51</v>
      </c>
      <c r="K11" s="241">
        <v>0</v>
      </c>
      <c r="L11" s="242">
        <v>152306.51</v>
      </c>
      <c r="N11" s="237">
        <f t="shared" si="2"/>
        <v>0</v>
      </c>
      <c r="O11" s="238"/>
      <c r="P11" s="239"/>
      <c r="R11" s="237">
        <f t="shared" si="3"/>
        <v>60000</v>
      </c>
      <c r="S11" s="238"/>
      <c r="T11" s="239">
        <v>60000</v>
      </c>
      <c r="V11" s="237">
        <f t="shared" si="4"/>
        <v>300000</v>
      </c>
      <c r="W11" s="238"/>
      <c r="X11" s="239">
        <v>300000</v>
      </c>
      <c r="Z11" s="195"/>
    </row>
    <row r="12" spans="1:26" s="192" customFormat="1" x14ac:dyDescent="0.25">
      <c r="A12" s="218" t="s">
        <v>134</v>
      </c>
      <c r="B12" s="249">
        <f>SUM(B13:B22)</f>
        <v>9428061.8300000001</v>
      </c>
      <c r="C12" s="250">
        <f t="shared" ref="C12:D12" si="6">SUM(C13:C22)</f>
        <v>312194</v>
      </c>
      <c r="D12" s="251">
        <f t="shared" si="6"/>
        <v>9115867.8300000001</v>
      </c>
      <c r="E12" s="252"/>
      <c r="F12" s="253">
        <f>SUM(F13:F22)</f>
        <v>10800</v>
      </c>
      <c r="G12" s="254">
        <f>SUM(G13:G22)</f>
        <v>0</v>
      </c>
      <c r="H12" s="255">
        <f>SUM(H13:H22)</f>
        <v>10800</v>
      </c>
      <c r="J12" s="256">
        <f>SUM(J13:J22)</f>
        <v>12129441.889999999</v>
      </c>
      <c r="K12" s="257">
        <f t="shared" ref="K12:L12" si="7">SUM(K13:K22)</f>
        <v>197336.2</v>
      </c>
      <c r="L12" s="258">
        <f t="shared" si="7"/>
        <v>11932105.689999999</v>
      </c>
      <c r="N12" s="253">
        <f>SUM(N13:N22)</f>
        <v>14700</v>
      </c>
      <c r="O12" s="254">
        <f>SUM(O13:O22)</f>
        <v>500</v>
      </c>
      <c r="P12" s="255">
        <f>SUM(P13:P22)</f>
        <v>14200</v>
      </c>
      <c r="R12" s="253">
        <f>SUM(R13:R22)</f>
        <v>12460000</v>
      </c>
      <c r="S12" s="254">
        <f>SUM(S13:S22)</f>
        <v>280000</v>
      </c>
      <c r="T12" s="255">
        <f>SUM(T13:T22)</f>
        <v>12180000</v>
      </c>
      <c r="V12" s="253">
        <f>SUM(V13:V22)</f>
        <v>17620000</v>
      </c>
      <c r="W12" s="254">
        <f>SUM(W13:W22)</f>
        <v>30000</v>
      </c>
      <c r="X12" s="255">
        <f>SUM(X13:X22)</f>
        <v>17590000</v>
      </c>
      <c r="Z12" s="195"/>
    </row>
    <row r="13" spans="1:26" s="192" customFormat="1" x14ac:dyDescent="0.25">
      <c r="A13" s="259" t="s">
        <v>10</v>
      </c>
      <c r="B13" s="260">
        <v>186459.09</v>
      </c>
      <c r="C13" s="261">
        <v>2450</v>
      </c>
      <c r="D13" s="261">
        <v>184009.09</v>
      </c>
      <c r="E13" s="262"/>
      <c r="F13" s="246">
        <v>1100</v>
      </c>
      <c r="G13" s="247"/>
      <c r="H13" s="248">
        <v>1100</v>
      </c>
      <c r="J13" s="240">
        <f t="shared" ref="J13:J22" si="8">+K13+L13</f>
        <v>1329310.27</v>
      </c>
      <c r="K13" s="263">
        <v>0</v>
      </c>
      <c r="L13" s="263">
        <v>1329310.27</v>
      </c>
      <c r="N13" s="246">
        <f t="shared" ref="N13:N22" si="9">+O13+P13</f>
        <v>1100</v>
      </c>
      <c r="O13" s="247">
        <v>100</v>
      </c>
      <c r="P13" s="248">
        <v>1000</v>
      </c>
      <c r="R13" s="246">
        <f t="shared" ref="R13:R22" si="10">+S13+T13</f>
        <v>600000</v>
      </c>
      <c r="S13" s="238"/>
      <c r="T13" s="239">
        <v>600000</v>
      </c>
      <c r="V13" s="246">
        <f t="shared" ref="V13:V22" si="11">+W13+X13</f>
        <v>2100000</v>
      </c>
      <c r="W13" s="243">
        <v>0</v>
      </c>
      <c r="X13" s="244">
        <f>600000+1500000</f>
        <v>2100000</v>
      </c>
      <c r="Z13" s="195"/>
    </row>
    <row r="14" spans="1:26" s="192" customFormat="1" x14ac:dyDescent="0.25">
      <c r="A14" s="259" t="s">
        <v>12</v>
      </c>
      <c r="B14" s="260">
        <v>557137.09</v>
      </c>
      <c r="C14" s="261">
        <v>197242</v>
      </c>
      <c r="D14" s="261">
        <v>359895.08999999997</v>
      </c>
      <c r="E14" s="262"/>
      <c r="F14" s="246">
        <v>600</v>
      </c>
      <c r="G14" s="247"/>
      <c r="H14" s="248">
        <v>600</v>
      </c>
      <c r="J14" s="240">
        <f t="shared" si="8"/>
        <v>691831.57</v>
      </c>
      <c r="K14" s="263">
        <v>0</v>
      </c>
      <c r="L14" s="263">
        <v>691831.57</v>
      </c>
      <c r="N14" s="246">
        <f t="shared" si="9"/>
        <v>900</v>
      </c>
      <c r="O14" s="247">
        <v>300</v>
      </c>
      <c r="P14" s="248">
        <v>600</v>
      </c>
      <c r="R14" s="246">
        <f t="shared" si="10"/>
        <v>810000</v>
      </c>
      <c r="S14" s="238">
        <v>200000</v>
      </c>
      <c r="T14" s="239">
        <v>610000</v>
      </c>
      <c r="V14" s="246">
        <f t="shared" si="11"/>
        <v>800000</v>
      </c>
      <c r="W14" s="238">
        <v>0</v>
      </c>
      <c r="X14" s="244">
        <v>800000</v>
      </c>
      <c r="Z14" s="195"/>
    </row>
    <row r="15" spans="1:26" s="192" customFormat="1" x14ac:dyDescent="0.25">
      <c r="A15" s="259" t="s">
        <v>14</v>
      </c>
      <c r="B15" s="260">
        <v>963753</v>
      </c>
      <c r="C15" s="261">
        <v>0</v>
      </c>
      <c r="D15" s="261">
        <v>963753</v>
      </c>
      <c r="E15" s="262"/>
      <c r="F15" s="246">
        <v>800</v>
      </c>
      <c r="G15" s="247"/>
      <c r="H15" s="248">
        <v>800</v>
      </c>
      <c r="J15" s="240">
        <f t="shared" si="8"/>
        <v>1516030.87</v>
      </c>
      <c r="K15" s="263">
        <v>0</v>
      </c>
      <c r="L15" s="263">
        <v>1516030.87</v>
      </c>
      <c r="N15" s="246">
        <f t="shared" si="9"/>
        <v>870</v>
      </c>
      <c r="O15" s="247"/>
      <c r="P15" s="248">
        <v>870</v>
      </c>
      <c r="R15" s="246">
        <f t="shared" si="10"/>
        <v>1200000</v>
      </c>
      <c r="S15" s="238"/>
      <c r="T15" s="239">
        <v>1200000</v>
      </c>
      <c r="V15" s="246">
        <f t="shared" si="11"/>
        <v>1850000</v>
      </c>
      <c r="W15" s="238"/>
      <c r="X15" s="244">
        <v>1850000</v>
      </c>
      <c r="Z15" s="195"/>
    </row>
    <row r="16" spans="1:26" s="192" customFormat="1" x14ac:dyDescent="0.25">
      <c r="A16" s="259" t="s">
        <v>16</v>
      </c>
      <c r="B16" s="260">
        <v>1142041</v>
      </c>
      <c r="C16" s="261">
        <v>2000</v>
      </c>
      <c r="D16" s="261">
        <v>1140041</v>
      </c>
      <c r="E16" s="262"/>
      <c r="F16" s="246">
        <v>1100</v>
      </c>
      <c r="G16" s="247"/>
      <c r="H16" s="248">
        <v>1100</v>
      </c>
      <c r="J16" s="240">
        <f t="shared" si="8"/>
        <v>901801.54</v>
      </c>
      <c r="K16" s="263">
        <v>0</v>
      </c>
      <c r="L16" s="263">
        <v>901801.54</v>
      </c>
      <c r="N16" s="246">
        <f t="shared" si="9"/>
        <v>1520</v>
      </c>
      <c r="O16" s="247">
        <v>20</v>
      </c>
      <c r="P16" s="248">
        <v>1500</v>
      </c>
      <c r="R16" s="246">
        <f t="shared" si="10"/>
        <v>700000</v>
      </c>
      <c r="S16" s="238"/>
      <c r="T16" s="239">
        <v>700000</v>
      </c>
      <c r="V16" s="246">
        <f t="shared" si="11"/>
        <v>900000</v>
      </c>
      <c r="W16" s="238">
        <v>0</v>
      </c>
      <c r="X16" s="244">
        <v>900000</v>
      </c>
      <c r="Z16" s="195"/>
    </row>
    <row r="17" spans="1:26" s="192" customFormat="1" x14ac:dyDescent="0.25">
      <c r="A17" s="259" t="s">
        <v>18</v>
      </c>
      <c r="B17" s="260">
        <v>3093785</v>
      </c>
      <c r="C17" s="261">
        <v>38340</v>
      </c>
      <c r="D17" s="261">
        <v>3055445</v>
      </c>
      <c r="E17" s="262"/>
      <c r="F17" s="246">
        <v>4800</v>
      </c>
      <c r="G17" s="247"/>
      <c r="H17" s="248">
        <v>4800</v>
      </c>
      <c r="J17" s="240">
        <f t="shared" si="8"/>
        <v>3793729.44</v>
      </c>
      <c r="K17" s="263">
        <v>71362</v>
      </c>
      <c r="L17" s="263">
        <v>3722367.44</v>
      </c>
      <c r="N17" s="246">
        <f t="shared" si="9"/>
        <v>3980</v>
      </c>
      <c r="O17" s="247">
        <v>80</v>
      </c>
      <c r="P17" s="248">
        <v>3900</v>
      </c>
      <c r="R17" s="246">
        <f t="shared" si="10"/>
        <v>4240000</v>
      </c>
      <c r="S17" s="238">
        <v>40000</v>
      </c>
      <c r="T17" s="239">
        <v>4200000</v>
      </c>
      <c r="V17" s="246">
        <f t="shared" si="11"/>
        <v>4830000</v>
      </c>
      <c r="W17" s="238">
        <v>0</v>
      </c>
      <c r="X17" s="244">
        <v>4830000</v>
      </c>
      <c r="Z17" s="195"/>
    </row>
    <row r="18" spans="1:26" s="192" customFormat="1" ht="28.5" x14ac:dyDescent="0.25">
      <c r="A18" s="259" t="s">
        <v>23</v>
      </c>
      <c r="B18" s="260">
        <v>688805</v>
      </c>
      <c r="C18" s="261">
        <v>0</v>
      </c>
      <c r="D18" s="261">
        <v>688805</v>
      </c>
      <c r="E18" s="262"/>
      <c r="F18" s="246">
        <v>1380</v>
      </c>
      <c r="G18" s="247"/>
      <c r="H18" s="248">
        <v>1380</v>
      </c>
      <c r="J18" s="240">
        <f t="shared" si="8"/>
        <v>1005743.62</v>
      </c>
      <c r="K18" s="263">
        <v>0</v>
      </c>
      <c r="L18" s="263">
        <v>1005743.62</v>
      </c>
      <c r="N18" s="246">
        <f t="shared" si="9"/>
        <v>730</v>
      </c>
      <c r="O18" s="247"/>
      <c r="P18" s="248">
        <v>730</v>
      </c>
      <c r="R18" s="246">
        <f t="shared" si="10"/>
        <v>810000</v>
      </c>
      <c r="S18" s="238"/>
      <c r="T18" s="239">
        <v>810000</v>
      </c>
      <c r="V18" s="246">
        <f t="shared" si="11"/>
        <v>940000</v>
      </c>
      <c r="W18" s="238"/>
      <c r="X18" s="244">
        <v>940000</v>
      </c>
      <c r="Z18" s="195"/>
    </row>
    <row r="19" spans="1:26" s="192" customFormat="1" x14ac:dyDescent="0.25">
      <c r="A19" s="259" t="s">
        <v>25</v>
      </c>
      <c r="B19" s="260">
        <v>0</v>
      </c>
      <c r="C19" s="261">
        <v>0</v>
      </c>
      <c r="D19" s="261">
        <v>0</v>
      </c>
      <c r="E19" s="262"/>
      <c r="F19" s="246">
        <v>20</v>
      </c>
      <c r="G19" s="247"/>
      <c r="H19" s="248">
        <v>20</v>
      </c>
      <c r="J19" s="240">
        <f t="shared" si="8"/>
        <v>0</v>
      </c>
      <c r="K19" s="263">
        <v>0</v>
      </c>
      <c r="L19" s="263">
        <v>0</v>
      </c>
      <c r="N19" s="246">
        <f t="shared" si="9"/>
        <v>0</v>
      </c>
      <c r="O19" s="247"/>
      <c r="P19" s="248"/>
      <c r="R19" s="246">
        <f t="shared" si="10"/>
        <v>0</v>
      </c>
      <c r="S19" s="238"/>
      <c r="T19" s="239"/>
      <c r="V19" s="246">
        <f t="shared" si="11"/>
        <v>0</v>
      </c>
      <c r="W19" s="238"/>
      <c r="X19" s="239"/>
      <c r="Z19" s="195"/>
    </row>
    <row r="20" spans="1:26" s="192" customFormat="1" ht="28.5" x14ac:dyDescent="0.25">
      <c r="A20" s="259" t="s">
        <v>27</v>
      </c>
      <c r="B20" s="260">
        <v>225235</v>
      </c>
      <c r="C20" s="261">
        <v>0</v>
      </c>
      <c r="D20" s="261">
        <v>225235</v>
      </c>
      <c r="E20" s="262"/>
      <c r="F20" s="246"/>
      <c r="G20" s="247"/>
      <c r="H20" s="248"/>
      <c r="J20" s="240">
        <f t="shared" si="8"/>
        <v>2675423</v>
      </c>
      <c r="K20" s="263">
        <v>109363</v>
      </c>
      <c r="L20" s="263">
        <v>2566060</v>
      </c>
      <c r="N20" s="246">
        <f t="shared" si="9"/>
        <v>2600</v>
      </c>
      <c r="O20" s="247"/>
      <c r="P20" s="248">
        <v>2600</v>
      </c>
      <c r="R20" s="246">
        <f t="shared" si="10"/>
        <v>2040000</v>
      </c>
      <c r="S20" s="238">
        <v>40000</v>
      </c>
      <c r="T20" s="239">
        <v>2000000</v>
      </c>
      <c r="V20" s="246">
        <f t="shared" si="11"/>
        <v>4150000</v>
      </c>
      <c r="W20" s="243">
        <v>0</v>
      </c>
      <c r="X20" s="244">
        <v>4150000</v>
      </c>
      <c r="Z20" s="195"/>
    </row>
    <row r="21" spans="1:26" s="192" customFormat="1" x14ac:dyDescent="0.25">
      <c r="A21" s="259" t="s">
        <v>29</v>
      </c>
      <c r="B21" s="260">
        <v>271846.65000000002</v>
      </c>
      <c r="C21" s="261">
        <v>72162</v>
      </c>
      <c r="D21" s="261">
        <v>199684.65000000002</v>
      </c>
      <c r="E21" s="262"/>
      <c r="F21" s="246">
        <v>1000</v>
      </c>
      <c r="G21" s="247"/>
      <c r="H21" s="248">
        <v>1000</v>
      </c>
      <c r="J21" s="240">
        <f t="shared" si="8"/>
        <v>215571.58000000002</v>
      </c>
      <c r="K21" s="263">
        <v>16611.2</v>
      </c>
      <c r="L21" s="263">
        <v>198960.38</v>
      </c>
      <c r="N21" s="246">
        <f t="shared" si="9"/>
        <v>500</v>
      </c>
      <c r="O21" s="247"/>
      <c r="P21" s="248">
        <v>500</v>
      </c>
      <c r="R21" s="246">
        <f t="shared" si="10"/>
        <v>60000</v>
      </c>
      <c r="S21" s="238">
        <v>0</v>
      </c>
      <c r="T21" s="239">
        <v>60000</v>
      </c>
      <c r="V21" s="246">
        <f t="shared" si="11"/>
        <v>300000</v>
      </c>
      <c r="W21" s="238">
        <v>30000</v>
      </c>
      <c r="X21" s="244">
        <v>270000</v>
      </c>
      <c r="Z21" s="195"/>
    </row>
    <row r="22" spans="1:26" s="192" customFormat="1" x14ac:dyDescent="0.25">
      <c r="A22" s="259" t="s">
        <v>135</v>
      </c>
      <c r="B22" s="260">
        <v>2299000</v>
      </c>
      <c r="C22" s="261">
        <v>0</v>
      </c>
      <c r="D22" s="261">
        <v>2299000</v>
      </c>
      <c r="E22" s="262"/>
      <c r="F22" s="246"/>
      <c r="G22" s="247"/>
      <c r="H22" s="248"/>
      <c r="J22" s="240">
        <f t="shared" si="8"/>
        <v>0</v>
      </c>
      <c r="K22" s="263">
        <v>0</v>
      </c>
      <c r="L22" s="263">
        <v>0</v>
      </c>
      <c r="N22" s="246">
        <f t="shared" si="9"/>
        <v>2500</v>
      </c>
      <c r="O22" s="247"/>
      <c r="P22" s="248">
        <v>2500</v>
      </c>
      <c r="R22" s="246">
        <f t="shared" si="10"/>
        <v>2000000</v>
      </c>
      <c r="S22" s="238"/>
      <c r="T22" s="248">
        <v>2000000</v>
      </c>
      <c r="V22" s="246">
        <f t="shared" si="11"/>
        <v>1750000</v>
      </c>
      <c r="W22" s="238"/>
      <c r="X22" s="248">
        <v>1750000</v>
      </c>
      <c r="Z22" s="195"/>
    </row>
    <row r="23" spans="1:26" s="192" customFormat="1" x14ac:dyDescent="0.25">
      <c r="A23" s="264" t="s">
        <v>136</v>
      </c>
      <c r="B23" s="219">
        <f t="shared" ref="B23:D23" si="12">B5-B12</f>
        <v>179893.58000000007</v>
      </c>
      <c r="C23" s="220">
        <f t="shared" si="12"/>
        <v>103810.08999999997</v>
      </c>
      <c r="D23" s="221">
        <f t="shared" si="12"/>
        <v>76083.490000000224</v>
      </c>
      <c r="E23" s="222"/>
      <c r="F23" s="265">
        <f>F5-F12</f>
        <v>-3100</v>
      </c>
      <c r="G23" s="266">
        <f>G5-G12</f>
        <v>0</v>
      </c>
      <c r="H23" s="267">
        <f>H5-H12</f>
        <v>-3100</v>
      </c>
      <c r="J23" s="226">
        <f t="shared" ref="J23:L23" si="13">J5-J12</f>
        <v>-3205493.4799999986</v>
      </c>
      <c r="K23" s="227">
        <f t="shared" si="13"/>
        <v>286420.89999999997</v>
      </c>
      <c r="L23" s="228">
        <f t="shared" si="13"/>
        <v>-3491914.379999999</v>
      </c>
      <c r="N23" s="265">
        <f>N5-N12</f>
        <v>-5900</v>
      </c>
      <c r="O23" s="266">
        <f>O5-O12</f>
        <v>100</v>
      </c>
      <c r="P23" s="267">
        <f>P5-P12</f>
        <v>-6000</v>
      </c>
      <c r="R23" s="265">
        <f>R5-R12</f>
        <v>-4000000</v>
      </c>
      <c r="S23" s="266">
        <f>S5-S12</f>
        <v>120000</v>
      </c>
      <c r="T23" s="267">
        <f>T5-T12</f>
        <v>-4120000</v>
      </c>
      <c r="V23" s="265">
        <f>V5-V12</f>
        <v>-7700000</v>
      </c>
      <c r="W23" s="266">
        <f>W5-W12</f>
        <v>20000</v>
      </c>
      <c r="X23" s="267">
        <f>X5-X12</f>
        <v>-7720000</v>
      </c>
      <c r="Z23" s="195"/>
    </row>
    <row r="24" spans="1:26" s="192" customFormat="1" ht="15.75" thickBot="1" x14ac:dyDescent="0.3">
      <c r="A24" s="268" t="s">
        <v>137</v>
      </c>
      <c r="B24" s="269">
        <f>+C24+D24</f>
        <v>2500000</v>
      </c>
      <c r="C24" s="270">
        <v>0</v>
      </c>
      <c r="D24" s="271">
        <v>2500000</v>
      </c>
      <c r="E24" s="262"/>
      <c r="F24" s="272">
        <v>3100</v>
      </c>
      <c r="G24" s="273"/>
      <c r="H24" s="274">
        <v>3100</v>
      </c>
      <c r="J24" s="240">
        <f>+K24+L24</f>
        <v>4300000</v>
      </c>
      <c r="K24" s="275">
        <v>0</v>
      </c>
      <c r="L24" s="276">
        <v>4300000</v>
      </c>
      <c r="N24" s="272">
        <f>+O24+P24</f>
        <v>5900</v>
      </c>
      <c r="O24" s="273"/>
      <c r="P24" s="274">
        <f>3300+2600</f>
        <v>5900</v>
      </c>
      <c r="R24" s="272">
        <f>+S24+T24</f>
        <v>4000000</v>
      </c>
      <c r="S24" s="277"/>
      <c r="T24" s="278">
        <v>4000000</v>
      </c>
      <c r="V24" s="272">
        <f>+W24+X24</f>
        <v>7700000</v>
      </c>
      <c r="W24" s="277"/>
      <c r="X24" s="278">
        <v>7700000</v>
      </c>
      <c r="Z24" s="195"/>
    </row>
    <row r="25" spans="1:26" s="192" customFormat="1" ht="15.75" thickBot="1" x14ac:dyDescent="0.3">
      <c r="A25" s="279" t="s">
        <v>138</v>
      </c>
      <c r="B25" s="280">
        <f t="shared" ref="B25:D25" si="14">B23+B24</f>
        <v>2679893.58</v>
      </c>
      <c r="C25" s="281">
        <f t="shared" si="14"/>
        <v>103810.08999999997</v>
      </c>
      <c r="D25" s="282">
        <f t="shared" si="14"/>
        <v>2576083.4900000002</v>
      </c>
      <c r="E25" s="252"/>
      <c r="F25" s="283">
        <f>F5-F12+F24</f>
        <v>0</v>
      </c>
      <c r="G25" s="284">
        <f>G5-G12+G24</f>
        <v>0</v>
      </c>
      <c r="H25" s="285">
        <f>H5-H12+H24</f>
        <v>0</v>
      </c>
      <c r="J25" s="286">
        <f t="shared" ref="J25:L25" si="15">J23+J24</f>
        <v>1094506.5200000014</v>
      </c>
      <c r="K25" s="287">
        <f t="shared" si="15"/>
        <v>286420.89999999997</v>
      </c>
      <c r="L25" s="288">
        <f t="shared" si="15"/>
        <v>808085.62000000104</v>
      </c>
      <c r="N25" s="283">
        <f>N23+N24</f>
        <v>0</v>
      </c>
      <c r="O25" s="284">
        <f>O23+O24</f>
        <v>100</v>
      </c>
      <c r="P25" s="285">
        <v>-100</v>
      </c>
      <c r="R25" s="283">
        <f>R23+R24</f>
        <v>0</v>
      </c>
      <c r="S25" s="284">
        <f>S23+S24</f>
        <v>120000</v>
      </c>
      <c r="T25" s="285">
        <f>T23+T24</f>
        <v>-120000</v>
      </c>
      <c r="V25" s="283">
        <f>V23+V24</f>
        <v>0</v>
      </c>
      <c r="W25" s="284">
        <f>W23+W24</f>
        <v>20000</v>
      </c>
      <c r="X25" s="285">
        <f>X23+X24</f>
        <v>-20000</v>
      </c>
      <c r="Z25" s="195"/>
    </row>
    <row r="26" spans="1:26" s="192" customFormat="1" ht="15.75" thickBot="1" x14ac:dyDescent="0.3">
      <c r="A26" s="289"/>
      <c r="B26" s="262"/>
      <c r="C26" s="262"/>
      <c r="D26" s="262"/>
      <c r="E26" s="262"/>
      <c r="F26" s="262"/>
      <c r="G26" s="262"/>
      <c r="J26" s="290"/>
      <c r="K26" s="290"/>
      <c r="L26" s="290"/>
      <c r="Z26" s="195"/>
    </row>
    <row r="27" spans="1:26" s="192" customFormat="1" ht="15.75" thickBot="1" x14ac:dyDescent="0.3">
      <c r="A27" s="291" t="s">
        <v>139</v>
      </c>
      <c r="B27" s="292" t="s">
        <v>41</v>
      </c>
      <c r="C27" s="293" t="s">
        <v>125</v>
      </c>
      <c r="D27" s="294" t="s">
        <v>126</v>
      </c>
      <c r="E27" s="295"/>
      <c r="F27" s="200" t="s">
        <v>41</v>
      </c>
      <c r="G27" s="201" t="s">
        <v>125</v>
      </c>
      <c r="H27" s="202" t="s">
        <v>126</v>
      </c>
      <c r="J27" s="203" t="s">
        <v>41</v>
      </c>
      <c r="K27" s="204" t="s">
        <v>125</v>
      </c>
      <c r="L27" s="205" t="s">
        <v>126</v>
      </c>
      <c r="N27" s="200" t="s">
        <v>41</v>
      </c>
      <c r="O27" s="201" t="s">
        <v>125</v>
      </c>
      <c r="P27" s="202" t="s">
        <v>126</v>
      </c>
      <c r="R27" s="200" t="s">
        <v>41</v>
      </c>
      <c r="S27" s="201" t="s">
        <v>125</v>
      </c>
      <c r="T27" s="202" t="s">
        <v>126</v>
      </c>
      <c r="V27" s="200" t="s">
        <v>41</v>
      </c>
      <c r="W27" s="201" t="s">
        <v>125</v>
      </c>
      <c r="X27" s="202" t="s">
        <v>126</v>
      </c>
      <c r="Z27" s="195"/>
    </row>
    <row r="28" spans="1:26" s="192" customFormat="1" ht="15.75" thickBot="1" x14ac:dyDescent="0.3">
      <c r="A28" s="207" t="s">
        <v>127</v>
      </c>
      <c r="B28" s="208" t="s">
        <v>140</v>
      </c>
      <c r="C28" s="209" t="s">
        <v>140</v>
      </c>
      <c r="D28" s="210" t="s">
        <v>140</v>
      </c>
      <c r="E28" s="211"/>
      <c r="F28" s="296" t="s">
        <v>140</v>
      </c>
      <c r="G28" s="297" t="s">
        <v>140</v>
      </c>
      <c r="H28" s="298" t="s">
        <v>140</v>
      </c>
      <c r="J28" s="215" t="s">
        <v>140</v>
      </c>
      <c r="K28" s="216" t="s">
        <v>140</v>
      </c>
      <c r="L28" s="217" t="s">
        <v>140</v>
      </c>
      <c r="N28" s="296" t="s">
        <v>140</v>
      </c>
      <c r="O28" s="297" t="s">
        <v>140</v>
      </c>
      <c r="P28" s="298" t="s">
        <v>140</v>
      </c>
      <c r="R28" s="296" t="s">
        <v>140</v>
      </c>
      <c r="S28" s="297" t="s">
        <v>140</v>
      </c>
      <c r="T28" s="298" t="s">
        <v>140</v>
      </c>
      <c r="V28" s="296" t="s">
        <v>140</v>
      </c>
      <c r="W28" s="297" t="s">
        <v>140</v>
      </c>
      <c r="X28" s="298" t="s">
        <v>140</v>
      </c>
      <c r="Z28" s="195"/>
    </row>
    <row r="29" spans="1:26" s="192" customFormat="1" x14ac:dyDescent="0.25">
      <c r="A29" s="218" t="s">
        <v>130</v>
      </c>
      <c r="B29" s="219">
        <f t="shared" ref="B29:D29" si="16">SUM(B30:B35)</f>
        <v>22201118.689999998</v>
      </c>
      <c r="C29" s="220">
        <f t="shared" si="16"/>
        <v>2685087.71</v>
      </c>
      <c r="D29" s="221">
        <f t="shared" si="16"/>
        <v>19516030.979999997</v>
      </c>
      <c r="E29" s="222"/>
      <c r="F29" s="265">
        <f>F30+SUM(F32:F35)</f>
        <v>21350</v>
      </c>
      <c r="G29" s="266">
        <f>G30+SUM(G32:G35)</f>
        <v>1350</v>
      </c>
      <c r="H29" s="267">
        <f>H30+SUM(H32:H35)</f>
        <v>20000</v>
      </c>
      <c r="J29" s="226">
        <f t="shared" ref="J29:L29" si="17">SUM(J30:J35)</f>
        <v>25451863.18</v>
      </c>
      <c r="K29" s="227">
        <f t="shared" si="17"/>
        <v>4207125.4099999992</v>
      </c>
      <c r="L29" s="228">
        <f t="shared" si="17"/>
        <v>21244737.770000003</v>
      </c>
      <c r="N29" s="265">
        <f>SUM(N30:N35)</f>
        <v>22530</v>
      </c>
      <c r="O29" s="266">
        <f>SUM(O30:O35)</f>
        <v>2700</v>
      </c>
      <c r="P29" s="267">
        <f>SUM(P30:P35)</f>
        <v>19830</v>
      </c>
      <c r="R29" s="229">
        <f>SUM(R30:R35)</f>
        <v>24750000</v>
      </c>
      <c r="S29" s="230">
        <f>SUM(S30:S35)</f>
        <v>3500000</v>
      </c>
      <c r="T29" s="231">
        <f>SUM(T30:T35)</f>
        <v>21250000</v>
      </c>
      <c r="V29" s="229">
        <f>SUM(V30:V35)</f>
        <v>30090000</v>
      </c>
      <c r="W29" s="230">
        <f>SUM(W30:W35)</f>
        <v>4950000</v>
      </c>
      <c r="X29" s="231">
        <f>SUM(X30:X35)</f>
        <v>25140000</v>
      </c>
      <c r="Y29" s="195"/>
      <c r="Z29" s="195"/>
    </row>
    <row r="30" spans="1:26" s="192" customFormat="1" x14ac:dyDescent="0.25">
      <c r="A30" s="259" t="s">
        <v>52</v>
      </c>
      <c r="B30" s="299">
        <f t="shared" ref="B30:B35" si="18">+C30+D30</f>
        <v>18484080.189999998</v>
      </c>
      <c r="C30" s="300">
        <f t="shared" ref="C30:D35" si="19">+C78-C54-C6</f>
        <v>2684547.71</v>
      </c>
      <c r="D30" s="300">
        <f t="shared" si="19"/>
        <v>15799532.479999999</v>
      </c>
      <c r="E30" s="301"/>
      <c r="F30" s="237">
        <f t="shared" ref="F30:F35" si="20">+G30+H30</f>
        <v>16450</v>
      </c>
      <c r="G30" s="238">
        <v>1350</v>
      </c>
      <c r="H30" s="239">
        <v>15100</v>
      </c>
      <c r="J30" s="240">
        <f t="shared" ref="J30:J35" si="21">+K30+L30</f>
        <v>20691251.949999999</v>
      </c>
      <c r="K30" s="242">
        <v>4206891.3099999996</v>
      </c>
      <c r="L30" s="242">
        <v>16484360.640000001</v>
      </c>
      <c r="N30" s="237">
        <f t="shared" ref="N30:N35" si="22">+O30+P30</f>
        <v>18200</v>
      </c>
      <c r="O30" s="238">
        <v>2700</v>
      </c>
      <c r="P30" s="239">
        <v>15500</v>
      </c>
      <c r="R30" s="237">
        <f t="shared" ref="R30:R35" si="23">+S30+T30</f>
        <v>20300000</v>
      </c>
      <c r="S30" s="238">
        <v>3500000</v>
      </c>
      <c r="T30" s="239">
        <v>16800000</v>
      </c>
      <c r="V30" s="237">
        <f t="shared" ref="V30:V35" si="24">+W30+X30</f>
        <v>24900000</v>
      </c>
      <c r="W30" s="243">
        <f>5810000-910000</f>
        <v>4900000</v>
      </c>
      <c r="X30" s="244">
        <f>19090000+910000</f>
        <v>20000000</v>
      </c>
      <c r="Y30" s="192" t="s">
        <v>141</v>
      </c>
      <c r="Z30" s="195"/>
    </row>
    <row r="31" spans="1:26" s="192" customFormat="1" ht="30" x14ac:dyDescent="0.25">
      <c r="A31" s="302" t="s">
        <v>132</v>
      </c>
      <c r="B31" s="299">
        <f t="shared" si="18"/>
        <v>0</v>
      </c>
      <c r="C31" s="300">
        <f t="shared" si="19"/>
        <v>0</v>
      </c>
      <c r="D31" s="300">
        <f t="shared" si="19"/>
        <v>0</v>
      </c>
      <c r="E31" s="301"/>
      <c r="F31" s="237">
        <f t="shared" si="20"/>
        <v>0</v>
      </c>
      <c r="G31" s="238"/>
      <c r="H31" s="239"/>
      <c r="J31" s="240">
        <f t="shared" si="21"/>
        <v>1532193.3</v>
      </c>
      <c r="K31" s="242">
        <v>0</v>
      </c>
      <c r="L31" s="242">
        <v>1532193.3</v>
      </c>
      <c r="N31" s="237">
        <f t="shared" si="22"/>
        <v>0</v>
      </c>
      <c r="O31" s="238">
        <v>0</v>
      </c>
      <c r="P31" s="239">
        <v>0</v>
      </c>
      <c r="R31" s="237">
        <f t="shared" si="23"/>
        <v>0</v>
      </c>
      <c r="S31" s="238"/>
      <c r="T31" s="239"/>
      <c r="V31" s="237">
        <f t="shared" si="24"/>
        <v>0</v>
      </c>
      <c r="W31" s="243">
        <v>0</v>
      </c>
      <c r="X31" s="239"/>
      <c r="Z31" s="195"/>
    </row>
    <row r="32" spans="1:26" s="192" customFormat="1" ht="30" x14ac:dyDescent="0.25">
      <c r="A32" s="302" t="s">
        <v>133</v>
      </c>
      <c r="B32" s="299">
        <f t="shared" si="18"/>
        <v>1372726</v>
      </c>
      <c r="C32" s="300">
        <f t="shared" si="19"/>
        <v>0</v>
      </c>
      <c r="D32" s="300">
        <f t="shared" si="19"/>
        <v>1372726</v>
      </c>
      <c r="E32" s="301"/>
      <c r="F32" s="237">
        <f t="shared" si="20"/>
        <v>2000</v>
      </c>
      <c r="G32" s="238"/>
      <c r="H32" s="239">
        <v>2000</v>
      </c>
      <c r="J32" s="240">
        <f t="shared" si="21"/>
        <v>0</v>
      </c>
      <c r="K32" s="242">
        <v>0</v>
      </c>
      <c r="L32" s="242">
        <v>0</v>
      </c>
      <c r="N32" s="237">
        <f t="shared" si="22"/>
        <v>1130</v>
      </c>
      <c r="O32" s="238">
        <v>0</v>
      </c>
      <c r="P32" s="239">
        <v>1130</v>
      </c>
      <c r="R32" s="237">
        <f t="shared" si="23"/>
        <v>1400000</v>
      </c>
      <c r="S32" s="238"/>
      <c r="T32" s="239">
        <v>1400000</v>
      </c>
      <c r="V32" s="237">
        <f t="shared" si="24"/>
        <v>1200000</v>
      </c>
      <c r="W32" s="243">
        <v>0</v>
      </c>
      <c r="X32" s="239">
        <v>1200000</v>
      </c>
      <c r="Z32" s="195"/>
    </row>
    <row r="33" spans="1:26" s="192" customFormat="1" x14ac:dyDescent="0.25">
      <c r="A33" s="302" t="s">
        <v>46</v>
      </c>
      <c r="B33" s="299">
        <f t="shared" si="18"/>
        <v>634526.80000000005</v>
      </c>
      <c r="C33" s="300">
        <f t="shared" si="19"/>
        <v>0</v>
      </c>
      <c r="D33" s="300">
        <f t="shared" si="19"/>
        <v>634526.80000000005</v>
      </c>
      <c r="E33" s="301"/>
      <c r="F33" s="237">
        <f t="shared" si="20"/>
        <v>0</v>
      </c>
      <c r="G33" s="238"/>
      <c r="H33" s="239"/>
      <c r="J33" s="240">
        <f t="shared" si="21"/>
        <v>1295250.6399999999</v>
      </c>
      <c r="K33" s="242">
        <v>0</v>
      </c>
      <c r="L33" s="242">
        <v>1295250.6399999999</v>
      </c>
      <c r="N33" s="237">
        <f t="shared" si="22"/>
        <v>0</v>
      </c>
      <c r="O33" s="238">
        <v>0</v>
      </c>
      <c r="P33" s="239">
        <v>0</v>
      </c>
      <c r="R33" s="237">
        <f t="shared" si="23"/>
        <v>1000000</v>
      </c>
      <c r="S33" s="238"/>
      <c r="T33" s="239">
        <v>1000000</v>
      </c>
      <c r="V33" s="237">
        <f t="shared" si="24"/>
        <v>1400000</v>
      </c>
      <c r="W33" s="243">
        <v>0</v>
      </c>
      <c r="X33" s="244">
        <v>1400000</v>
      </c>
      <c r="Z33" s="195"/>
    </row>
    <row r="34" spans="1:26" s="192" customFormat="1" x14ac:dyDescent="0.25">
      <c r="A34" s="302" t="s">
        <v>47</v>
      </c>
      <c r="B34" s="299">
        <f t="shared" si="18"/>
        <v>0</v>
      </c>
      <c r="C34" s="300">
        <f t="shared" si="19"/>
        <v>0</v>
      </c>
      <c r="D34" s="300">
        <f t="shared" si="19"/>
        <v>0</v>
      </c>
      <c r="E34" s="301"/>
      <c r="F34" s="237">
        <f t="shared" si="20"/>
        <v>500</v>
      </c>
      <c r="G34" s="247"/>
      <c r="H34" s="248">
        <v>500</v>
      </c>
      <c r="J34" s="240">
        <f t="shared" si="21"/>
        <v>0</v>
      </c>
      <c r="K34" s="242">
        <v>0</v>
      </c>
      <c r="L34" s="242">
        <v>0</v>
      </c>
      <c r="N34" s="237">
        <f t="shared" si="22"/>
        <v>800</v>
      </c>
      <c r="O34" s="238">
        <v>0</v>
      </c>
      <c r="P34" s="239">
        <v>800</v>
      </c>
      <c r="R34" s="237">
        <f t="shared" si="23"/>
        <v>0</v>
      </c>
      <c r="S34" s="238"/>
      <c r="T34" s="239"/>
      <c r="V34" s="237">
        <f t="shared" si="24"/>
        <v>1000000</v>
      </c>
      <c r="W34" s="243">
        <v>0</v>
      </c>
      <c r="X34" s="239">
        <v>1000000</v>
      </c>
      <c r="Z34" s="195"/>
    </row>
    <row r="35" spans="1:26" s="192" customFormat="1" x14ac:dyDescent="0.25">
      <c r="A35" s="259" t="s">
        <v>2</v>
      </c>
      <c r="B35" s="299">
        <f t="shared" si="18"/>
        <v>1709785.7</v>
      </c>
      <c r="C35" s="300">
        <f t="shared" si="19"/>
        <v>540</v>
      </c>
      <c r="D35" s="300">
        <f t="shared" si="19"/>
        <v>1709245.7</v>
      </c>
      <c r="E35" s="301"/>
      <c r="F35" s="237">
        <f t="shared" si="20"/>
        <v>2400</v>
      </c>
      <c r="G35" s="247"/>
      <c r="H35" s="248">
        <v>2400</v>
      </c>
      <c r="J35" s="240">
        <f t="shared" si="21"/>
        <v>1933167.29</v>
      </c>
      <c r="K35" s="242">
        <v>234.1</v>
      </c>
      <c r="L35" s="242">
        <v>1932933.19</v>
      </c>
      <c r="N35" s="237">
        <f t="shared" si="22"/>
        <v>2400</v>
      </c>
      <c r="O35" s="238">
        <v>0</v>
      </c>
      <c r="P35" s="239">
        <v>2400</v>
      </c>
      <c r="R35" s="237">
        <f t="shared" si="23"/>
        <v>2050000</v>
      </c>
      <c r="S35" s="238"/>
      <c r="T35" s="239">
        <v>2050000</v>
      </c>
      <c r="V35" s="237">
        <f t="shared" si="24"/>
        <v>1590000</v>
      </c>
      <c r="W35" s="243">
        <v>50000</v>
      </c>
      <c r="X35" s="244">
        <f>100000+450000+200000+250000+500000+40000</f>
        <v>1540000</v>
      </c>
      <c r="Z35" s="195"/>
    </row>
    <row r="36" spans="1:26" s="192" customFormat="1" x14ac:dyDescent="0.25">
      <c r="A36" s="218" t="s">
        <v>134</v>
      </c>
      <c r="B36" s="249">
        <f>SUM(B37:B46)</f>
        <v>54903225.390000001</v>
      </c>
      <c r="C36" s="250">
        <f t="shared" ref="C36:D36" si="25">SUM(C37:C46)</f>
        <v>2145406.88</v>
      </c>
      <c r="D36" s="251">
        <f t="shared" si="25"/>
        <v>52757818.509999998</v>
      </c>
      <c r="E36" s="252"/>
      <c r="F36" s="253">
        <f>SUM(F37:F46)</f>
        <v>53150</v>
      </c>
      <c r="G36" s="254">
        <f>SUM(G37:G46)</f>
        <v>1230</v>
      </c>
      <c r="H36" s="255">
        <f>SUM(H37:H46)</f>
        <v>51920</v>
      </c>
      <c r="J36" s="256">
        <f>SUM(J37:J46)</f>
        <v>60008183.950000003</v>
      </c>
      <c r="K36" s="257">
        <f t="shared" ref="K36:L36" si="26">SUM(K37:K46)</f>
        <v>3461903.8000000003</v>
      </c>
      <c r="L36" s="258">
        <f t="shared" si="26"/>
        <v>56546280.149999999</v>
      </c>
      <c r="N36" s="253">
        <f>SUM(N37:N46)</f>
        <v>58063.8</v>
      </c>
      <c r="O36" s="254">
        <f>SUM(O37:O46)</f>
        <v>2060</v>
      </c>
      <c r="P36" s="255">
        <f>SUM(P37:P46)</f>
        <v>56003.8</v>
      </c>
      <c r="R36" s="253">
        <f>SUM(R37:R46)</f>
        <v>61170000</v>
      </c>
      <c r="S36" s="254">
        <f>SUM(S37:S46)</f>
        <v>2520000</v>
      </c>
      <c r="T36" s="255">
        <f>SUM(T37:T46)</f>
        <v>58650000</v>
      </c>
      <c r="V36" s="253">
        <f>SUM(V37:V46)</f>
        <v>66830000</v>
      </c>
      <c r="W36" s="254">
        <f>SUM(W37:W46)</f>
        <v>4355000</v>
      </c>
      <c r="X36" s="255">
        <f>SUM(X37:X46)</f>
        <v>62475000</v>
      </c>
      <c r="Z36" s="195"/>
    </row>
    <row r="37" spans="1:26" s="192" customFormat="1" x14ac:dyDescent="0.25">
      <c r="A37" s="259" t="s">
        <v>10</v>
      </c>
      <c r="B37" s="260">
        <f t="shared" ref="B37:B46" si="27">C37+D37</f>
        <v>2565157.91</v>
      </c>
      <c r="C37" s="303">
        <f t="shared" ref="C37:D46" si="28">+C85-C61-C13</f>
        <v>14520</v>
      </c>
      <c r="D37" s="261">
        <f t="shared" si="28"/>
        <v>2550637.91</v>
      </c>
      <c r="E37" s="262"/>
      <c r="F37" s="246">
        <f t="shared" ref="F37:F46" si="29">+G37+H37</f>
        <v>2780</v>
      </c>
      <c r="G37" s="247">
        <v>100</v>
      </c>
      <c r="H37" s="248">
        <v>2680</v>
      </c>
      <c r="J37" s="240">
        <f t="shared" ref="J37:J46" si="30">+K37+L37</f>
        <v>3521894.51</v>
      </c>
      <c r="K37" s="304">
        <v>136601.28</v>
      </c>
      <c r="L37" s="263">
        <v>3385293.23</v>
      </c>
      <c r="N37" s="246">
        <f t="shared" ref="N37:N46" si="31">+O37+P37</f>
        <v>3143.8</v>
      </c>
      <c r="O37" s="247">
        <v>0</v>
      </c>
      <c r="P37" s="248">
        <f>2480+663.8</f>
        <v>3143.8</v>
      </c>
      <c r="R37" s="246">
        <f t="shared" ref="R37:R46" si="32">+S37+T37</f>
        <v>3350000</v>
      </c>
      <c r="S37" s="238">
        <v>50000</v>
      </c>
      <c r="T37" s="239">
        <v>3300000</v>
      </c>
      <c r="V37" s="246">
        <f t="shared" ref="V37:V46" si="33">+W37+X37</f>
        <v>3400000</v>
      </c>
      <c r="W37" s="243">
        <v>100000</v>
      </c>
      <c r="X37" s="239">
        <v>3300000</v>
      </c>
      <c r="Y37" s="305"/>
      <c r="Z37" s="195"/>
    </row>
    <row r="38" spans="1:26" s="192" customFormat="1" x14ac:dyDescent="0.25">
      <c r="A38" s="259" t="s">
        <v>12</v>
      </c>
      <c r="B38" s="260">
        <f t="shared" si="27"/>
        <v>8126056.9100000001</v>
      </c>
      <c r="C38" s="303">
        <f t="shared" si="28"/>
        <v>179930</v>
      </c>
      <c r="D38" s="261">
        <f t="shared" si="28"/>
        <v>7946126.9100000001</v>
      </c>
      <c r="E38" s="262"/>
      <c r="F38" s="246">
        <f t="shared" si="29"/>
        <v>7520</v>
      </c>
      <c r="G38" s="247">
        <v>300</v>
      </c>
      <c r="H38" s="248">
        <v>7220</v>
      </c>
      <c r="J38" s="240">
        <f t="shared" si="30"/>
        <v>8432352.7699999996</v>
      </c>
      <c r="K38" s="304">
        <v>322130.24</v>
      </c>
      <c r="L38" s="263">
        <v>8110222.5300000003</v>
      </c>
      <c r="N38" s="246">
        <f t="shared" si="31"/>
        <v>8000</v>
      </c>
      <c r="O38" s="247">
        <v>800</v>
      </c>
      <c r="P38" s="248">
        <v>7200</v>
      </c>
      <c r="R38" s="246">
        <f t="shared" si="32"/>
        <v>8090000</v>
      </c>
      <c r="S38" s="238">
        <f>360000+420000+120000</f>
        <v>900000</v>
      </c>
      <c r="T38" s="239">
        <v>7190000</v>
      </c>
      <c r="V38" s="246">
        <f t="shared" si="33"/>
        <v>8510000</v>
      </c>
      <c r="W38" s="243">
        <f>250000+500000+100000</f>
        <v>850000</v>
      </c>
      <c r="X38" s="244">
        <f>7460000+200000</f>
        <v>7660000</v>
      </c>
      <c r="Y38" s="305"/>
      <c r="Z38" s="195"/>
    </row>
    <row r="39" spans="1:26" s="192" customFormat="1" x14ac:dyDescent="0.25">
      <c r="A39" s="259" t="s">
        <v>14</v>
      </c>
      <c r="B39" s="260">
        <f t="shared" si="27"/>
        <v>2099910</v>
      </c>
      <c r="C39" s="303">
        <f t="shared" si="28"/>
        <v>0</v>
      </c>
      <c r="D39" s="261">
        <f t="shared" si="28"/>
        <v>2099910</v>
      </c>
      <c r="E39" s="262"/>
      <c r="F39" s="246">
        <f t="shared" si="29"/>
        <v>1750</v>
      </c>
      <c r="G39" s="247">
        <v>30</v>
      </c>
      <c r="H39" s="248">
        <v>1720</v>
      </c>
      <c r="J39" s="240">
        <f t="shared" si="30"/>
        <v>2021867.09</v>
      </c>
      <c r="K39" s="304">
        <v>0</v>
      </c>
      <c r="L39" s="263">
        <v>2021867.09</v>
      </c>
      <c r="N39" s="246">
        <f t="shared" si="31"/>
        <v>2380</v>
      </c>
      <c r="O39" s="247">
        <v>30</v>
      </c>
      <c r="P39" s="248">
        <v>2350</v>
      </c>
      <c r="R39" s="246">
        <f t="shared" si="32"/>
        <v>2510000</v>
      </c>
      <c r="S39" s="238"/>
      <c r="T39" s="239">
        <v>2510000</v>
      </c>
      <c r="V39" s="246">
        <f t="shared" si="33"/>
        <v>2000000</v>
      </c>
      <c r="W39" s="238"/>
      <c r="X39" s="244">
        <v>2000000</v>
      </c>
      <c r="Y39" s="305"/>
      <c r="Z39" s="195"/>
    </row>
    <row r="40" spans="1:26" s="192" customFormat="1" x14ac:dyDescent="0.25">
      <c r="A40" s="259" t="s">
        <v>16</v>
      </c>
      <c r="B40" s="260">
        <f t="shared" si="27"/>
        <v>5640816</v>
      </c>
      <c r="C40" s="303">
        <f t="shared" si="28"/>
        <v>67897</v>
      </c>
      <c r="D40" s="261">
        <f t="shared" si="28"/>
        <v>5572919</v>
      </c>
      <c r="E40" s="262"/>
      <c r="F40" s="246">
        <f t="shared" si="29"/>
        <v>6020</v>
      </c>
      <c r="G40" s="247">
        <v>20</v>
      </c>
      <c r="H40" s="248">
        <v>6000</v>
      </c>
      <c r="J40" s="240">
        <f t="shared" si="30"/>
        <v>5863402.6200000001</v>
      </c>
      <c r="K40" s="304">
        <v>48560</v>
      </c>
      <c r="L40" s="263">
        <v>5814842.6200000001</v>
      </c>
      <c r="N40" s="246">
        <f t="shared" si="31"/>
        <v>6940</v>
      </c>
      <c r="O40" s="247">
        <v>20</v>
      </c>
      <c r="P40" s="248">
        <f>6980-60</f>
        <v>6920</v>
      </c>
      <c r="R40" s="246">
        <f t="shared" si="32"/>
        <v>6880000</v>
      </c>
      <c r="S40" s="238">
        <v>60000</v>
      </c>
      <c r="T40" s="239">
        <v>6820000</v>
      </c>
      <c r="V40" s="246">
        <f t="shared" si="33"/>
        <v>6950000</v>
      </c>
      <c r="W40" s="243">
        <v>50000</v>
      </c>
      <c r="X40" s="244">
        <v>6900000</v>
      </c>
      <c r="Y40" s="305"/>
      <c r="Z40" s="195"/>
    </row>
    <row r="41" spans="1:26" s="192" customFormat="1" x14ac:dyDescent="0.25">
      <c r="A41" s="259" t="s">
        <v>18</v>
      </c>
      <c r="B41" s="260">
        <f t="shared" si="27"/>
        <v>23010733</v>
      </c>
      <c r="C41" s="303">
        <f t="shared" si="28"/>
        <v>862578</v>
      </c>
      <c r="D41" s="261">
        <f t="shared" si="28"/>
        <v>22148155</v>
      </c>
      <c r="E41" s="262"/>
      <c r="F41" s="246">
        <f t="shared" si="29"/>
        <v>21460</v>
      </c>
      <c r="G41" s="247">
        <v>560</v>
      </c>
      <c r="H41" s="248">
        <v>20900</v>
      </c>
      <c r="J41" s="240">
        <f t="shared" si="30"/>
        <v>22413008.560000002</v>
      </c>
      <c r="K41" s="304">
        <v>1036299.89</v>
      </c>
      <c r="L41" s="263">
        <v>21376708.670000002</v>
      </c>
      <c r="N41" s="246">
        <f t="shared" si="31"/>
        <v>24620</v>
      </c>
      <c r="O41" s="247">
        <v>900</v>
      </c>
      <c r="P41" s="248">
        <f>24620-900</f>
        <v>23720</v>
      </c>
      <c r="R41" s="246">
        <f t="shared" si="32"/>
        <v>25530000</v>
      </c>
      <c r="S41" s="238">
        <f>720000+40000</f>
        <v>760000</v>
      </c>
      <c r="T41" s="239">
        <v>24770000</v>
      </c>
      <c r="V41" s="246">
        <f t="shared" si="33"/>
        <v>26760000</v>
      </c>
      <c r="W41" s="243">
        <f>590000+320000+250000</f>
        <v>1160000</v>
      </c>
      <c r="X41" s="239">
        <v>25600000</v>
      </c>
      <c r="Y41" s="305"/>
      <c r="Z41" s="195"/>
    </row>
    <row r="42" spans="1:26" s="192" customFormat="1" ht="28.5" x14ac:dyDescent="0.25">
      <c r="A42" s="259" t="s">
        <v>23</v>
      </c>
      <c r="B42" s="260">
        <f t="shared" si="27"/>
        <v>7467145</v>
      </c>
      <c r="C42" s="303">
        <f t="shared" si="28"/>
        <v>245803</v>
      </c>
      <c r="D42" s="261">
        <f t="shared" si="28"/>
        <v>7221342</v>
      </c>
      <c r="E42" s="262"/>
      <c r="F42" s="246">
        <f t="shared" si="29"/>
        <v>7563</v>
      </c>
      <c r="G42" s="247">
        <v>203</v>
      </c>
      <c r="H42" s="248">
        <v>7360</v>
      </c>
      <c r="J42" s="240">
        <f t="shared" si="30"/>
        <v>7162279.3799999999</v>
      </c>
      <c r="K42" s="304">
        <v>231819.95</v>
      </c>
      <c r="L42" s="263">
        <v>6930459.4299999997</v>
      </c>
      <c r="N42" s="246">
        <f t="shared" si="31"/>
        <v>8250</v>
      </c>
      <c r="O42" s="247">
        <v>200</v>
      </c>
      <c r="P42" s="248">
        <v>8050</v>
      </c>
      <c r="R42" s="246">
        <f t="shared" si="32"/>
        <v>8350000</v>
      </c>
      <c r="S42" s="238">
        <v>250000</v>
      </c>
      <c r="T42" s="239">
        <v>8100000</v>
      </c>
      <c r="V42" s="246">
        <f t="shared" si="33"/>
        <v>8950000</v>
      </c>
      <c r="W42" s="243">
        <v>295000</v>
      </c>
      <c r="X42" s="239">
        <f>8950000-W42</f>
        <v>8655000</v>
      </c>
      <c r="Y42" s="305"/>
      <c r="Z42" s="195"/>
    </row>
    <row r="43" spans="1:26" s="192" customFormat="1" x14ac:dyDescent="0.25">
      <c r="A43" s="259" t="s">
        <v>25</v>
      </c>
      <c r="B43" s="260">
        <f t="shared" si="27"/>
        <v>0</v>
      </c>
      <c r="C43" s="303">
        <f t="shared" si="28"/>
        <v>0</v>
      </c>
      <c r="D43" s="261">
        <f t="shared" si="28"/>
        <v>0</v>
      </c>
      <c r="E43" s="262"/>
      <c r="F43" s="246">
        <f t="shared" si="29"/>
        <v>40</v>
      </c>
      <c r="G43" s="247"/>
      <c r="H43" s="248">
        <v>40</v>
      </c>
      <c r="J43" s="240">
        <f t="shared" si="30"/>
        <v>35919</v>
      </c>
      <c r="K43" s="304">
        <v>0</v>
      </c>
      <c r="L43" s="263">
        <v>35919</v>
      </c>
      <c r="N43" s="246">
        <f t="shared" si="31"/>
        <v>60</v>
      </c>
      <c r="O43" s="247">
        <v>0</v>
      </c>
      <c r="P43" s="248">
        <v>60</v>
      </c>
      <c r="R43" s="246">
        <f t="shared" si="32"/>
        <v>60000</v>
      </c>
      <c r="S43" s="238"/>
      <c r="T43" s="239">
        <v>60000</v>
      </c>
      <c r="V43" s="246">
        <f t="shared" si="33"/>
        <v>60000</v>
      </c>
      <c r="W43" s="238"/>
      <c r="X43" s="244">
        <v>60000</v>
      </c>
      <c r="Y43" s="305"/>
      <c r="Z43" s="195"/>
    </row>
    <row r="44" spans="1:26" s="192" customFormat="1" ht="28.5" x14ac:dyDescent="0.25">
      <c r="A44" s="259" t="s">
        <v>27</v>
      </c>
      <c r="B44" s="260">
        <f t="shared" si="27"/>
        <v>3163877</v>
      </c>
      <c r="C44" s="303">
        <f t="shared" si="28"/>
        <v>0</v>
      </c>
      <c r="D44" s="261">
        <f t="shared" si="28"/>
        <v>3163877</v>
      </c>
      <c r="E44" s="262"/>
      <c r="F44" s="246">
        <f t="shared" si="29"/>
        <v>3510</v>
      </c>
      <c r="G44" s="247">
        <v>10</v>
      </c>
      <c r="H44" s="248">
        <v>3500</v>
      </c>
      <c r="J44" s="240">
        <f t="shared" si="30"/>
        <v>5655561.8600000003</v>
      </c>
      <c r="K44" s="304">
        <v>504090</v>
      </c>
      <c r="L44" s="263">
        <v>5151471.8600000003</v>
      </c>
      <c r="N44" s="246">
        <f t="shared" si="31"/>
        <v>4610</v>
      </c>
      <c r="O44" s="247">
        <v>10</v>
      </c>
      <c r="P44" s="248">
        <f>2550+2050</f>
        <v>4600</v>
      </c>
      <c r="R44" s="246">
        <f t="shared" si="32"/>
        <v>5600000</v>
      </c>
      <c r="S44" s="238">
        <v>400000</v>
      </c>
      <c r="T44" s="239">
        <v>5200000</v>
      </c>
      <c r="V44" s="246">
        <f t="shared" si="33"/>
        <v>6400000</v>
      </c>
      <c r="W44" s="243">
        <v>0</v>
      </c>
      <c r="X44" s="244">
        <v>6400000</v>
      </c>
      <c r="Y44" s="305"/>
      <c r="Z44" s="195"/>
    </row>
    <row r="45" spans="1:26" s="192" customFormat="1" x14ac:dyDescent="0.25">
      <c r="A45" s="259" t="s">
        <v>29</v>
      </c>
      <c r="B45" s="260">
        <f t="shared" si="27"/>
        <v>5128529.5699999994</v>
      </c>
      <c r="C45" s="303">
        <f t="shared" si="28"/>
        <v>774678.88</v>
      </c>
      <c r="D45" s="261">
        <f t="shared" si="28"/>
        <v>4353850.6899999995</v>
      </c>
      <c r="E45" s="262"/>
      <c r="F45" s="246">
        <f t="shared" si="29"/>
        <v>2507</v>
      </c>
      <c r="G45" s="247">
        <v>7</v>
      </c>
      <c r="H45" s="248">
        <v>2500</v>
      </c>
      <c r="J45" s="240">
        <f t="shared" si="30"/>
        <v>4901898.16</v>
      </c>
      <c r="K45" s="304">
        <v>1182402.44</v>
      </c>
      <c r="L45" s="263">
        <v>3719495.72</v>
      </c>
      <c r="N45" s="246">
        <f t="shared" si="31"/>
        <v>2560</v>
      </c>
      <c r="O45" s="247">
        <v>100</v>
      </c>
      <c r="P45" s="248">
        <v>2460</v>
      </c>
      <c r="R45" s="246">
        <f t="shared" si="32"/>
        <v>2800000</v>
      </c>
      <c r="S45" s="238">
        <f>520000-420000</f>
        <v>100000</v>
      </c>
      <c r="T45" s="239">
        <v>2700000</v>
      </c>
      <c r="V45" s="246">
        <f t="shared" si="33"/>
        <v>5550000</v>
      </c>
      <c r="W45" s="243">
        <f>1800000+30000+50000+20000</f>
        <v>1900000</v>
      </c>
      <c r="X45" s="244">
        <f>4120000-400000+30000-100000</f>
        <v>3650000</v>
      </c>
      <c r="Y45" s="305"/>
      <c r="Z45" s="195"/>
    </row>
    <row r="46" spans="1:26" s="192" customFormat="1" x14ac:dyDescent="0.25">
      <c r="A46" s="259" t="s">
        <v>135</v>
      </c>
      <c r="B46" s="260">
        <f t="shared" si="27"/>
        <v>-2299000</v>
      </c>
      <c r="C46" s="303">
        <f t="shared" si="28"/>
        <v>0</v>
      </c>
      <c r="D46" s="261">
        <f t="shared" si="28"/>
        <v>-2299000</v>
      </c>
      <c r="E46" s="262"/>
      <c r="F46" s="246">
        <f t="shared" si="29"/>
        <v>0</v>
      </c>
      <c r="G46" s="247"/>
      <c r="H46" s="248"/>
      <c r="J46" s="240">
        <f t="shared" si="30"/>
        <v>0</v>
      </c>
      <c r="K46" s="304">
        <v>0</v>
      </c>
      <c r="L46" s="263">
        <v>0</v>
      </c>
      <c r="N46" s="246">
        <f t="shared" si="31"/>
        <v>-2500</v>
      </c>
      <c r="O46" s="247"/>
      <c r="P46" s="248">
        <f>-P22</f>
        <v>-2500</v>
      </c>
      <c r="R46" s="246">
        <f t="shared" si="32"/>
        <v>-2000000</v>
      </c>
      <c r="S46" s="238"/>
      <c r="T46" s="239">
        <v>-2000000</v>
      </c>
      <c r="V46" s="246">
        <f t="shared" si="33"/>
        <v>-1750000</v>
      </c>
      <c r="W46" s="238"/>
      <c r="X46" s="244">
        <f>-X22</f>
        <v>-1750000</v>
      </c>
      <c r="Y46" s="305"/>
      <c r="Z46" s="195"/>
    </row>
    <row r="47" spans="1:26" s="192" customFormat="1" x14ac:dyDescent="0.25">
      <c r="A47" s="264" t="s">
        <v>136</v>
      </c>
      <c r="B47" s="219">
        <f t="shared" ref="B47:D47" si="34">B29-B36</f>
        <v>-32702106.700000003</v>
      </c>
      <c r="C47" s="220">
        <f t="shared" si="34"/>
        <v>539680.83000000007</v>
      </c>
      <c r="D47" s="221">
        <f t="shared" si="34"/>
        <v>-33241787.530000001</v>
      </c>
      <c r="E47" s="222"/>
      <c r="F47" s="265">
        <f>F29-F36</f>
        <v>-31800</v>
      </c>
      <c r="G47" s="266">
        <f>G29-G36</f>
        <v>120</v>
      </c>
      <c r="H47" s="267">
        <f>H29-H36</f>
        <v>-31920</v>
      </c>
      <c r="J47" s="226">
        <f t="shared" ref="J47:L47" si="35">J29-J36</f>
        <v>-34556320.770000003</v>
      </c>
      <c r="K47" s="227">
        <f t="shared" si="35"/>
        <v>745221.60999999894</v>
      </c>
      <c r="L47" s="228">
        <f t="shared" si="35"/>
        <v>-35301542.379999995</v>
      </c>
      <c r="N47" s="265">
        <f>N29-N36</f>
        <v>-35533.800000000003</v>
      </c>
      <c r="O47" s="265">
        <f t="shared" ref="O47:P47" si="36">O29-O36</f>
        <v>640</v>
      </c>
      <c r="P47" s="265">
        <f t="shared" si="36"/>
        <v>-36173.800000000003</v>
      </c>
      <c r="R47" s="265">
        <f>R29-R36</f>
        <v>-36420000</v>
      </c>
      <c r="S47" s="266">
        <f>S29-S36</f>
        <v>980000</v>
      </c>
      <c r="T47" s="267">
        <f>T29-T36</f>
        <v>-37400000</v>
      </c>
      <c r="V47" s="265">
        <f>V29-V36</f>
        <v>-36740000</v>
      </c>
      <c r="W47" s="266">
        <f>W29-W36</f>
        <v>595000</v>
      </c>
      <c r="X47" s="267">
        <f>X29-X36</f>
        <v>-37335000</v>
      </c>
      <c r="Z47" s="195"/>
    </row>
    <row r="48" spans="1:26" s="192" customFormat="1" x14ac:dyDescent="0.25">
      <c r="A48" s="259" t="s">
        <v>137</v>
      </c>
      <c r="B48" s="260">
        <f t="shared" ref="B48" si="37">C48+D48</f>
        <v>32527502</v>
      </c>
      <c r="C48" s="303">
        <v>0</v>
      </c>
      <c r="D48" s="261">
        <f>+D96-D72-D24</f>
        <v>32527502</v>
      </c>
      <c r="E48" s="262"/>
      <c r="F48" s="272">
        <f>+G48+H48</f>
        <v>31800</v>
      </c>
      <c r="G48" s="273"/>
      <c r="H48" s="274">
        <v>31800</v>
      </c>
      <c r="J48" s="240">
        <f>+K48+L48</f>
        <v>37133800</v>
      </c>
      <c r="K48" s="304">
        <v>0</v>
      </c>
      <c r="L48" s="263">
        <v>37133800</v>
      </c>
      <c r="N48" s="272">
        <f>+O48+P48</f>
        <v>35534</v>
      </c>
      <c r="O48" s="273"/>
      <c r="P48" s="274">
        <f>33630-750+2050+604</f>
        <v>35534</v>
      </c>
      <c r="R48" s="272">
        <f>+S48+T48</f>
        <v>36420000</v>
      </c>
      <c r="S48" s="277">
        <v>0</v>
      </c>
      <c r="T48" s="278">
        <v>36420000</v>
      </c>
      <c r="V48" s="272">
        <f>+W48+X48</f>
        <v>36740000</v>
      </c>
      <c r="W48" s="277">
        <v>0</v>
      </c>
      <c r="X48" s="278">
        <v>36740000</v>
      </c>
      <c r="Z48" s="195"/>
    </row>
    <row r="49" spans="1:26" s="192" customFormat="1" ht="15.75" thickBot="1" x14ac:dyDescent="0.3">
      <c r="A49" s="306" t="s">
        <v>138</v>
      </c>
      <c r="B49" s="307">
        <f t="shared" ref="B49:D49" si="38">B47+B48</f>
        <v>-174604.70000000298</v>
      </c>
      <c r="C49" s="308">
        <f t="shared" si="38"/>
        <v>539680.83000000007</v>
      </c>
      <c r="D49" s="309">
        <f t="shared" si="38"/>
        <v>-714285.53000000119</v>
      </c>
      <c r="E49" s="252"/>
      <c r="F49" s="283">
        <f>F29-F36+F48</f>
        <v>0</v>
      </c>
      <c r="G49" s="284">
        <f>G29-G36+G48</f>
        <v>120</v>
      </c>
      <c r="H49" s="285">
        <f>H29-H36+H48</f>
        <v>-120</v>
      </c>
      <c r="J49" s="310">
        <f t="shared" ref="J49:L49" si="39">J47+J48</f>
        <v>2577479.2299999967</v>
      </c>
      <c r="K49" s="311">
        <f t="shared" si="39"/>
        <v>745221.60999999894</v>
      </c>
      <c r="L49" s="312">
        <f t="shared" si="39"/>
        <v>1832257.6200000048</v>
      </c>
      <c r="N49" s="283">
        <f>N47+N48</f>
        <v>0.19999999999708962</v>
      </c>
      <c r="O49" s="284">
        <f>O47+O48</f>
        <v>640</v>
      </c>
      <c r="P49" s="284">
        <f>P47+P48</f>
        <v>-639.80000000000291</v>
      </c>
      <c r="R49" s="283">
        <f>R47+R48</f>
        <v>0</v>
      </c>
      <c r="S49" s="284">
        <f>S47+S48</f>
        <v>980000</v>
      </c>
      <c r="T49" s="285">
        <f>T47+T48</f>
        <v>-980000</v>
      </c>
      <c r="V49" s="283">
        <f>V47+V48</f>
        <v>0</v>
      </c>
      <c r="W49" s="284">
        <f>W47+W48</f>
        <v>595000</v>
      </c>
      <c r="X49" s="285">
        <f>X47+X48</f>
        <v>-595000</v>
      </c>
      <c r="Z49" s="195"/>
    </row>
    <row r="50" spans="1:26" s="192" customFormat="1" ht="15" customHeight="1" thickBot="1" x14ac:dyDescent="0.3">
      <c r="A50" s="313"/>
      <c r="B50" s="314"/>
      <c r="C50" s="314"/>
      <c r="D50" s="314"/>
      <c r="E50" s="314"/>
      <c r="F50" s="314"/>
      <c r="G50" s="314"/>
      <c r="J50" s="315"/>
      <c r="K50" s="315"/>
      <c r="L50" s="315"/>
      <c r="Z50" s="195"/>
    </row>
    <row r="51" spans="1:26" s="192" customFormat="1" ht="15.75" thickBot="1" x14ac:dyDescent="0.3">
      <c r="A51" s="316" t="s">
        <v>142</v>
      </c>
      <c r="B51" s="292" t="s">
        <v>41</v>
      </c>
      <c r="C51" s="293" t="s">
        <v>125</v>
      </c>
      <c r="D51" s="294" t="s">
        <v>126</v>
      </c>
      <c r="E51" s="295"/>
      <c r="F51" s="200" t="s">
        <v>41</v>
      </c>
      <c r="G51" s="201" t="s">
        <v>125</v>
      </c>
      <c r="H51" s="202" t="s">
        <v>41</v>
      </c>
      <c r="J51" s="203" t="s">
        <v>41</v>
      </c>
      <c r="K51" s="204" t="s">
        <v>125</v>
      </c>
      <c r="L51" s="205" t="s">
        <v>126</v>
      </c>
      <c r="N51" s="200" t="s">
        <v>41</v>
      </c>
      <c r="O51" s="201" t="s">
        <v>125</v>
      </c>
      <c r="P51" s="202" t="s">
        <v>126</v>
      </c>
      <c r="R51" s="200" t="s">
        <v>41</v>
      </c>
      <c r="S51" s="201" t="s">
        <v>125</v>
      </c>
      <c r="T51" s="202" t="s">
        <v>126</v>
      </c>
      <c r="V51" s="200" t="s">
        <v>41</v>
      </c>
      <c r="W51" s="201" t="s">
        <v>125</v>
      </c>
      <c r="X51" s="202" t="s">
        <v>126</v>
      </c>
      <c r="Z51" s="195"/>
    </row>
    <row r="52" spans="1:26" s="192" customFormat="1" x14ac:dyDescent="0.25">
      <c r="A52" s="317" t="s">
        <v>127</v>
      </c>
      <c r="B52" s="208" t="s">
        <v>143</v>
      </c>
      <c r="C52" s="208" t="s">
        <v>143</v>
      </c>
      <c r="D52" s="208" t="s">
        <v>143</v>
      </c>
      <c r="E52" s="211"/>
      <c r="F52" s="296" t="s">
        <v>143</v>
      </c>
      <c r="G52" s="297" t="s">
        <v>143</v>
      </c>
      <c r="H52" s="298" t="s">
        <v>143</v>
      </c>
      <c r="J52" s="215" t="s">
        <v>143</v>
      </c>
      <c r="K52" s="215" t="s">
        <v>143</v>
      </c>
      <c r="L52" s="318" t="s">
        <v>143</v>
      </c>
      <c r="N52" s="296" t="s">
        <v>143</v>
      </c>
      <c r="O52" s="296" t="s">
        <v>143</v>
      </c>
      <c r="P52" s="296" t="s">
        <v>143</v>
      </c>
      <c r="R52" s="319" t="s">
        <v>143</v>
      </c>
      <c r="S52" s="320" t="s">
        <v>143</v>
      </c>
      <c r="T52" s="321" t="s">
        <v>143</v>
      </c>
      <c r="V52" s="319" t="s">
        <v>143</v>
      </c>
      <c r="W52" s="320" t="s">
        <v>143</v>
      </c>
      <c r="X52" s="321" t="s">
        <v>143</v>
      </c>
      <c r="Z52" s="195"/>
    </row>
    <row r="53" spans="1:26" s="192" customFormat="1" x14ac:dyDescent="0.25">
      <c r="A53" s="322" t="s">
        <v>130</v>
      </c>
      <c r="B53" s="219">
        <f t="shared" ref="B53:D53" si="40">SUM(B54:B59)</f>
        <v>116811.31</v>
      </c>
      <c r="C53" s="220">
        <f t="shared" si="40"/>
        <v>0</v>
      </c>
      <c r="D53" s="221">
        <f t="shared" si="40"/>
        <v>116811.31</v>
      </c>
      <c r="E53" s="222"/>
      <c r="F53" s="265">
        <f>F54+SUM(F56:F59)</f>
        <v>60</v>
      </c>
      <c r="G53" s="266"/>
      <c r="H53" s="267">
        <f>H54+SUM(H56:H59)</f>
        <v>60</v>
      </c>
      <c r="J53" s="226">
        <f t="shared" ref="J53:L53" si="41">SUM(J54:J59)</f>
        <v>82036.09</v>
      </c>
      <c r="K53" s="227">
        <f t="shared" si="41"/>
        <v>0</v>
      </c>
      <c r="L53" s="228">
        <f t="shared" si="41"/>
        <v>82036.09</v>
      </c>
      <c r="N53" s="265">
        <f>SUM(N54:N59)</f>
        <v>70</v>
      </c>
      <c r="O53" s="265"/>
      <c r="P53" s="323">
        <f>SUM(P54:P59)</f>
        <v>70</v>
      </c>
      <c r="R53" s="265">
        <f>SUM(R54:R59)</f>
        <v>90000</v>
      </c>
      <c r="S53" s="266"/>
      <c r="T53" s="267">
        <f>SUM(T54:T59)</f>
        <v>90000</v>
      </c>
      <c r="V53" s="265">
        <f>SUM(V54:V59)</f>
        <v>90000</v>
      </c>
      <c r="W53" s="266"/>
      <c r="X53" s="267">
        <f>SUM(X54:X59)</f>
        <v>90000</v>
      </c>
      <c r="Z53" s="195"/>
    </row>
    <row r="54" spans="1:26" s="192" customFormat="1" x14ac:dyDescent="0.25">
      <c r="A54" s="324" t="s">
        <v>52</v>
      </c>
      <c r="B54" s="325">
        <v>0</v>
      </c>
      <c r="C54" s="325">
        <v>0</v>
      </c>
      <c r="D54" s="326">
        <v>0</v>
      </c>
      <c r="E54" s="301"/>
      <c r="F54" s="237">
        <f t="shared" ref="F54:F59" si="42">+G54+H54</f>
        <v>0</v>
      </c>
      <c r="G54" s="238"/>
      <c r="H54" s="239"/>
      <c r="J54" s="240">
        <f t="shared" ref="J54:J59" si="43">+K54+L54</f>
        <v>0</v>
      </c>
      <c r="K54" s="327">
        <v>0</v>
      </c>
      <c r="L54" s="328">
        <v>0</v>
      </c>
      <c r="N54" s="237">
        <f t="shared" ref="N54:N59" si="44">+O54+P54</f>
        <v>0</v>
      </c>
      <c r="O54" s="237"/>
      <c r="P54" s="329"/>
      <c r="R54" s="237">
        <f t="shared" ref="R54:R59" si="45">+S54+T54</f>
        <v>0</v>
      </c>
      <c r="S54" s="238">
        <v>0</v>
      </c>
      <c r="T54" s="239">
        <v>0</v>
      </c>
      <c r="V54" s="237">
        <f t="shared" ref="V54:V59" si="46">+W54+X54</f>
        <v>0</v>
      </c>
      <c r="W54" s="238">
        <v>0</v>
      </c>
      <c r="X54" s="239">
        <v>0</v>
      </c>
      <c r="Z54" s="195"/>
    </row>
    <row r="55" spans="1:26" s="192" customFormat="1" ht="30" x14ac:dyDescent="0.25">
      <c r="A55" s="330" t="s">
        <v>132</v>
      </c>
      <c r="B55" s="325">
        <v>0</v>
      </c>
      <c r="C55" s="325">
        <v>0</v>
      </c>
      <c r="D55" s="326">
        <v>0</v>
      </c>
      <c r="E55" s="301"/>
      <c r="F55" s="237">
        <f t="shared" si="42"/>
        <v>0</v>
      </c>
      <c r="G55" s="238"/>
      <c r="H55" s="239"/>
      <c r="J55" s="240">
        <f t="shared" si="43"/>
        <v>0</v>
      </c>
      <c r="K55" s="327">
        <v>0</v>
      </c>
      <c r="L55" s="328">
        <v>0</v>
      </c>
      <c r="N55" s="237">
        <f t="shared" si="44"/>
        <v>0</v>
      </c>
      <c r="O55" s="237"/>
      <c r="P55" s="329"/>
      <c r="R55" s="237">
        <f t="shared" si="45"/>
        <v>0</v>
      </c>
      <c r="S55" s="238">
        <v>0</v>
      </c>
      <c r="T55" s="239">
        <v>0</v>
      </c>
      <c r="V55" s="237">
        <f t="shared" si="46"/>
        <v>0</v>
      </c>
      <c r="W55" s="238">
        <v>0</v>
      </c>
      <c r="X55" s="239">
        <v>0</v>
      </c>
      <c r="Z55" s="195"/>
    </row>
    <row r="56" spans="1:26" s="192" customFormat="1" ht="30" x14ac:dyDescent="0.25">
      <c r="A56" s="330" t="s">
        <v>133</v>
      </c>
      <c r="B56" s="325">
        <v>0</v>
      </c>
      <c r="C56" s="325">
        <v>0</v>
      </c>
      <c r="D56" s="326">
        <v>0</v>
      </c>
      <c r="E56" s="301"/>
      <c r="F56" s="237">
        <f t="shared" si="42"/>
        <v>0</v>
      </c>
      <c r="G56" s="238"/>
      <c r="H56" s="239"/>
      <c r="J56" s="240">
        <f t="shared" si="43"/>
        <v>0</v>
      </c>
      <c r="K56" s="327">
        <v>0</v>
      </c>
      <c r="L56" s="328">
        <v>0</v>
      </c>
      <c r="N56" s="237">
        <f t="shared" si="44"/>
        <v>0</v>
      </c>
      <c r="O56" s="237"/>
      <c r="P56" s="329"/>
      <c r="R56" s="237">
        <f t="shared" si="45"/>
        <v>0</v>
      </c>
      <c r="S56" s="238">
        <v>0</v>
      </c>
      <c r="T56" s="239">
        <v>0</v>
      </c>
      <c r="V56" s="237">
        <f t="shared" si="46"/>
        <v>0</v>
      </c>
      <c r="W56" s="238">
        <v>0</v>
      </c>
      <c r="X56" s="239">
        <v>0</v>
      </c>
      <c r="Z56" s="195"/>
    </row>
    <row r="57" spans="1:26" s="192" customFormat="1" x14ac:dyDescent="0.25">
      <c r="A57" s="330" t="s">
        <v>46</v>
      </c>
      <c r="B57" s="325">
        <v>0</v>
      </c>
      <c r="C57" s="325">
        <v>0</v>
      </c>
      <c r="D57" s="326">
        <v>0</v>
      </c>
      <c r="E57" s="301"/>
      <c r="F57" s="237">
        <f t="shared" si="42"/>
        <v>0</v>
      </c>
      <c r="G57" s="238"/>
      <c r="H57" s="239"/>
      <c r="J57" s="240">
        <f t="shared" si="43"/>
        <v>0</v>
      </c>
      <c r="K57" s="327">
        <v>0</v>
      </c>
      <c r="L57" s="328">
        <v>0</v>
      </c>
      <c r="N57" s="237">
        <f t="shared" si="44"/>
        <v>0</v>
      </c>
      <c r="O57" s="237"/>
      <c r="P57" s="329"/>
      <c r="R57" s="237">
        <f t="shared" si="45"/>
        <v>0</v>
      </c>
      <c r="S57" s="238">
        <v>0</v>
      </c>
      <c r="T57" s="239">
        <v>0</v>
      </c>
      <c r="V57" s="237">
        <f t="shared" si="46"/>
        <v>0</v>
      </c>
      <c r="W57" s="238">
        <v>0</v>
      </c>
      <c r="X57" s="239">
        <v>0</v>
      </c>
      <c r="Z57" s="195"/>
    </row>
    <row r="58" spans="1:26" s="192" customFormat="1" x14ac:dyDescent="0.25">
      <c r="A58" s="330" t="s">
        <v>47</v>
      </c>
      <c r="B58" s="325">
        <v>0</v>
      </c>
      <c r="C58" s="325">
        <v>0</v>
      </c>
      <c r="D58" s="326">
        <v>0</v>
      </c>
      <c r="E58" s="301"/>
      <c r="F58" s="237">
        <f t="shared" si="42"/>
        <v>0</v>
      </c>
      <c r="G58" s="247"/>
      <c r="H58" s="248"/>
      <c r="J58" s="240">
        <f t="shared" si="43"/>
        <v>0</v>
      </c>
      <c r="K58" s="327">
        <v>0</v>
      </c>
      <c r="L58" s="328">
        <v>0</v>
      </c>
      <c r="N58" s="237">
        <f t="shared" si="44"/>
        <v>0</v>
      </c>
      <c r="O58" s="237"/>
      <c r="P58" s="329"/>
      <c r="R58" s="237">
        <f t="shared" si="45"/>
        <v>0</v>
      </c>
      <c r="S58" s="238">
        <v>0</v>
      </c>
      <c r="T58" s="239">
        <v>0</v>
      </c>
      <c r="V58" s="237">
        <f t="shared" si="46"/>
        <v>0</v>
      </c>
      <c r="W58" s="238">
        <v>0</v>
      </c>
      <c r="X58" s="239">
        <v>0</v>
      </c>
      <c r="Z58" s="195"/>
    </row>
    <row r="59" spans="1:26" s="192" customFormat="1" x14ac:dyDescent="0.25">
      <c r="A59" s="324" t="s">
        <v>2</v>
      </c>
      <c r="B59" s="325">
        <v>116811.31</v>
      </c>
      <c r="C59" s="325">
        <v>0</v>
      </c>
      <c r="D59" s="326">
        <v>116811.31</v>
      </c>
      <c r="E59" s="301"/>
      <c r="F59" s="237">
        <f t="shared" si="42"/>
        <v>60</v>
      </c>
      <c r="G59" s="247"/>
      <c r="H59" s="248">
        <v>60</v>
      </c>
      <c r="J59" s="240">
        <f t="shared" si="43"/>
        <v>82036.09</v>
      </c>
      <c r="K59" s="327">
        <v>0</v>
      </c>
      <c r="L59" s="328">
        <v>82036.09</v>
      </c>
      <c r="N59" s="237">
        <f t="shared" si="44"/>
        <v>70</v>
      </c>
      <c r="O59" s="237"/>
      <c r="P59" s="329">
        <v>70</v>
      </c>
      <c r="R59" s="237">
        <f t="shared" si="45"/>
        <v>90000</v>
      </c>
      <c r="S59" s="238">
        <v>0</v>
      </c>
      <c r="T59" s="239">
        <v>90000</v>
      </c>
      <c r="V59" s="237">
        <f t="shared" si="46"/>
        <v>90000</v>
      </c>
      <c r="W59" s="238">
        <v>0</v>
      </c>
      <c r="X59" s="244">
        <v>90000</v>
      </c>
      <c r="Z59" s="195"/>
    </row>
    <row r="60" spans="1:26" s="192" customFormat="1" x14ac:dyDescent="0.25">
      <c r="A60" s="322" t="s">
        <v>134</v>
      </c>
      <c r="B60" s="249">
        <f t="shared" ref="B60:D60" si="47">SUM(B61:B69)</f>
        <v>1089309</v>
      </c>
      <c r="C60" s="250">
        <f t="shared" si="47"/>
        <v>0</v>
      </c>
      <c r="D60" s="251">
        <f t="shared" si="47"/>
        <v>1089309</v>
      </c>
      <c r="E60" s="252"/>
      <c r="F60" s="253">
        <f>SUM(F61:F69)</f>
        <v>1160</v>
      </c>
      <c r="G60" s="254">
        <f>SUM(G61:G69)</f>
        <v>0</v>
      </c>
      <c r="H60" s="255">
        <f>SUM(H61:H69)</f>
        <v>1160</v>
      </c>
      <c r="J60" s="256">
        <f t="shared" ref="J60:L60" si="48">SUM(J61:J69)</f>
        <v>1570839.55</v>
      </c>
      <c r="K60" s="257">
        <f t="shared" si="48"/>
        <v>0</v>
      </c>
      <c r="L60" s="258">
        <f t="shared" si="48"/>
        <v>1570839.55</v>
      </c>
      <c r="N60" s="265">
        <f>SUM(N61:N70)</f>
        <v>1650</v>
      </c>
      <c r="O60" s="253"/>
      <c r="P60" s="331">
        <f>SUM(P61:P69)</f>
        <v>1650</v>
      </c>
      <c r="R60" s="265">
        <f>SUM(R61:R70)</f>
        <v>1670000</v>
      </c>
      <c r="S60" s="254"/>
      <c r="T60" s="255">
        <f>SUM(T61:T69)</f>
        <v>1670000</v>
      </c>
      <c r="V60" s="265">
        <f>SUM(V61:V70)</f>
        <v>1650000</v>
      </c>
      <c r="W60" s="254"/>
      <c r="X60" s="255">
        <f>SUM(X61:X69)</f>
        <v>1650000</v>
      </c>
      <c r="Z60" s="195"/>
    </row>
    <row r="61" spans="1:26" s="192" customFormat="1" x14ac:dyDescent="0.25">
      <c r="A61" s="324" t="s">
        <v>10</v>
      </c>
      <c r="B61" s="332">
        <v>0</v>
      </c>
      <c r="C61" s="332">
        <v>0</v>
      </c>
      <c r="D61" s="333">
        <v>0</v>
      </c>
      <c r="E61" s="262"/>
      <c r="F61" s="246">
        <f t="shared" ref="F61:F70" si="49">+G61+H61</f>
        <v>100</v>
      </c>
      <c r="G61" s="247"/>
      <c r="H61" s="248">
        <v>100</v>
      </c>
      <c r="J61" s="240">
        <f t="shared" ref="J61:J70" si="50">+K61+L61</f>
        <v>42713</v>
      </c>
      <c r="K61" s="334">
        <v>0</v>
      </c>
      <c r="L61" s="335">
        <v>42713</v>
      </c>
      <c r="N61" s="246">
        <f t="shared" ref="N61:N70" si="51">+O61+P61</f>
        <v>100</v>
      </c>
      <c r="O61" s="246"/>
      <c r="P61" s="248">
        <v>100</v>
      </c>
      <c r="R61" s="246">
        <f t="shared" ref="R61:R70" si="52">+S61+T61</f>
        <v>100000</v>
      </c>
      <c r="S61" s="247"/>
      <c r="T61" s="248">
        <v>100000</v>
      </c>
      <c r="V61" s="246">
        <f t="shared" ref="V61:V70" si="53">+W61+X61</f>
        <v>80000</v>
      </c>
      <c r="W61" s="247"/>
      <c r="X61" s="336">
        <v>80000</v>
      </c>
      <c r="Z61" s="195"/>
    </row>
    <row r="62" spans="1:26" s="192" customFormat="1" x14ac:dyDescent="0.25">
      <c r="A62" s="324" t="s">
        <v>12</v>
      </c>
      <c r="B62" s="332">
        <v>0</v>
      </c>
      <c r="C62" s="332">
        <v>0</v>
      </c>
      <c r="D62" s="333">
        <v>0</v>
      </c>
      <c r="E62" s="262"/>
      <c r="F62" s="246">
        <f t="shared" si="49"/>
        <v>0</v>
      </c>
      <c r="G62" s="247"/>
      <c r="H62" s="248"/>
      <c r="J62" s="240">
        <f t="shared" si="50"/>
        <v>0</v>
      </c>
      <c r="K62" s="334">
        <v>0</v>
      </c>
      <c r="L62" s="335">
        <v>0</v>
      </c>
      <c r="N62" s="246">
        <f t="shared" si="51"/>
        <v>0</v>
      </c>
      <c r="O62" s="246"/>
      <c r="P62" s="248"/>
      <c r="R62" s="246">
        <f t="shared" si="52"/>
        <v>0</v>
      </c>
      <c r="S62" s="247"/>
      <c r="T62" s="248"/>
      <c r="V62" s="246">
        <f t="shared" si="53"/>
        <v>0</v>
      </c>
      <c r="W62" s="247"/>
      <c r="X62" s="248"/>
      <c r="Z62" s="195"/>
    </row>
    <row r="63" spans="1:26" s="192" customFormat="1" x14ac:dyDescent="0.25">
      <c r="A63" s="324" t="s">
        <v>14</v>
      </c>
      <c r="B63" s="332">
        <v>116811</v>
      </c>
      <c r="C63" s="332">
        <v>0</v>
      </c>
      <c r="D63" s="333">
        <v>116811</v>
      </c>
      <c r="E63" s="262"/>
      <c r="F63" s="246">
        <f t="shared" si="49"/>
        <v>60</v>
      </c>
      <c r="G63" s="247"/>
      <c r="H63" s="248">
        <v>60</v>
      </c>
      <c r="J63" s="240">
        <f t="shared" si="50"/>
        <v>75172.960000000006</v>
      </c>
      <c r="K63" s="334">
        <v>0</v>
      </c>
      <c r="L63" s="335">
        <v>75172.960000000006</v>
      </c>
      <c r="N63" s="246">
        <f t="shared" si="51"/>
        <v>70</v>
      </c>
      <c r="O63" s="246"/>
      <c r="P63" s="248">
        <v>70</v>
      </c>
      <c r="R63" s="246">
        <f t="shared" si="52"/>
        <v>90000</v>
      </c>
      <c r="S63" s="247"/>
      <c r="T63" s="248">
        <v>90000</v>
      </c>
      <c r="V63" s="246">
        <f t="shared" si="53"/>
        <v>90000</v>
      </c>
      <c r="W63" s="247"/>
      <c r="X63" s="336">
        <v>90000</v>
      </c>
      <c r="Z63" s="195"/>
    </row>
    <row r="64" spans="1:26" s="192" customFormat="1" x14ac:dyDescent="0.25">
      <c r="A64" s="324" t="s">
        <v>16</v>
      </c>
      <c r="B64" s="332">
        <v>972498</v>
      </c>
      <c r="C64" s="332">
        <v>0</v>
      </c>
      <c r="D64" s="333">
        <v>972498</v>
      </c>
      <c r="E64" s="262"/>
      <c r="F64" s="246">
        <f t="shared" si="49"/>
        <v>1000</v>
      </c>
      <c r="G64" s="247"/>
      <c r="H64" s="248">
        <v>1000</v>
      </c>
      <c r="J64" s="240">
        <f t="shared" si="50"/>
        <v>1452953.59</v>
      </c>
      <c r="K64" s="334">
        <v>0</v>
      </c>
      <c r="L64" s="335">
        <v>1452953.59</v>
      </c>
      <c r="N64" s="246">
        <f t="shared" si="51"/>
        <v>1480</v>
      </c>
      <c r="O64" s="246"/>
      <c r="P64" s="248">
        <f>1300+180</f>
        <v>1480</v>
      </c>
      <c r="R64" s="246">
        <f t="shared" si="52"/>
        <v>1480000</v>
      </c>
      <c r="S64" s="247"/>
      <c r="T64" s="248">
        <v>1480000</v>
      </c>
      <c r="V64" s="246">
        <f t="shared" si="53"/>
        <v>1480000</v>
      </c>
      <c r="W64" s="247"/>
      <c r="X64" s="336">
        <v>1480000</v>
      </c>
      <c r="Z64" s="195"/>
    </row>
    <row r="65" spans="1:26" s="192" customFormat="1" x14ac:dyDescent="0.25">
      <c r="A65" s="324" t="s">
        <v>18</v>
      </c>
      <c r="B65" s="332">
        <v>0</v>
      </c>
      <c r="C65" s="332">
        <v>0</v>
      </c>
      <c r="D65" s="333">
        <v>0</v>
      </c>
      <c r="E65" s="262"/>
      <c r="F65" s="246">
        <f t="shared" si="49"/>
        <v>0</v>
      </c>
      <c r="G65" s="247"/>
      <c r="H65" s="248"/>
      <c r="J65" s="240">
        <f t="shared" si="50"/>
        <v>0</v>
      </c>
      <c r="K65" s="334">
        <v>0</v>
      </c>
      <c r="L65" s="335">
        <v>0</v>
      </c>
      <c r="N65" s="246">
        <f t="shared" si="51"/>
        <v>0</v>
      </c>
      <c r="O65" s="246"/>
      <c r="P65" s="337"/>
      <c r="R65" s="246">
        <f t="shared" si="52"/>
        <v>0</v>
      </c>
      <c r="S65" s="247"/>
      <c r="T65" s="248"/>
      <c r="V65" s="246">
        <f t="shared" si="53"/>
        <v>0</v>
      </c>
      <c r="W65" s="247"/>
      <c r="X65" s="248"/>
      <c r="Z65" s="195"/>
    </row>
    <row r="66" spans="1:26" s="192" customFormat="1" ht="28.5" x14ac:dyDescent="0.25">
      <c r="A66" s="324" t="s">
        <v>23</v>
      </c>
      <c r="B66" s="332">
        <v>0</v>
      </c>
      <c r="C66" s="332">
        <v>0</v>
      </c>
      <c r="D66" s="333">
        <v>0</v>
      </c>
      <c r="E66" s="262"/>
      <c r="F66" s="246">
        <f t="shared" si="49"/>
        <v>0</v>
      </c>
      <c r="G66" s="247"/>
      <c r="H66" s="248"/>
      <c r="J66" s="240">
        <f t="shared" si="50"/>
        <v>0</v>
      </c>
      <c r="K66" s="334">
        <v>0</v>
      </c>
      <c r="L66" s="335">
        <v>0</v>
      </c>
      <c r="N66" s="246">
        <f t="shared" si="51"/>
        <v>0</v>
      </c>
      <c r="O66" s="246"/>
      <c r="P66" s="337"/>
      <c r="R66" s="246">
        <f t="shared" si="52"/>
        <v>0</v>
      </c>
      <c r="S66" s="247"/>
      <c r="T66" s="248"/>
      <c r="V66" s="246">
        <f t="shared" si="53"/>
        <v>0</v>
      </c>
      <c r="W66" s="247"/>
      <c r="X66" s="248"/>
      <c r="Z66" s="195"/>
    </row>
    <row r="67" spans="1:26" s="192" customFormat="1" x14ac:dyDescent="0.25">
      <c r="A67" s="324" t="s">
        <v>25</v>
      </c>
      <c r="B67" s="332">
        <v>0</v>
      </c>
      <c r="C67" s="332">
        <v>0</v>
      </c>
      <c r="D67" s="333">
        <v>0</v>
      </c>
      <c r="E67" s="262"/>
      <c r="F67" s="246">
        <f t="shared" si="49"/>
        <v>0</v>
      </c>
      <c r="G67" s="247"/>
      <c r="H67" s="248"/>
      <c r="J67" s="240">
        <f t="shared" si="50"/>
        <v>0</v>
      </c>
      <c r="K67" s="334">
        <v>0</v>
      </c>
      <c r="L67" s="335">
        <v>0</v>
      </c>
      <c r="N67" s="246">
        <f t="shared" si="51"/>
        <v>0</v>
      </c>
      <c r="O67" s="246"/>
      <c r="P67" s="337"/>
      <c r="R67" s="246">
        <f t="shared" si="52"/>
        <v>0</v>
      </c>
      <c r="S67" s="247"/>
      <c r="T67" s="248"/>
      <c r="V67" s="246">
        <f t="shared" si="53"/>
        <v>0</v>
      </c>
      <c r="W67" s="247"/>
      <c r="X67" s="248"/>
      <c r="Z67" s="195"/>
    </row>
    <row r="68" spans="1:26" s="192" customFormat="1" ht="28.5" x14ac:dyDescent="0.25">
      <c r="A68" s="324" t="s">
        <v>27</v>
      </c>
      <c r="B68" s="332">
        <v>0</v>
      </c>
      <c r="C68" s="332">
        <v>0</v>
      </c>
      <c r="D68" s="333">
        <v>0</v>
      </c>
      <c r="E68" s="262"/>
      <c r="F68" s="246">
        <f t="shared" si="49"/>
        <v>0</v>
      </c>
      <c r="G68" s="247"/>
      <c r="H68" s="248"/>
      <c r="J68" s="240">
        <f t="shared" si="50"/>
        <v>0</v>
      </c>
      <c r="K68" s="334">
        <v>0</v>
      </c>
      <c r="L68" s="335">
        <v>0</v>
      </c>
      <c r="N68" s="246">
        <f t="shared" si="51"/>
        <v>0</v>
      </c>
      <c r="O68" s="246"/>
      <c r="P68" s="337"/>
      <c r="R68" s="246">
        <f t="shared" si="52"/>
        <v>0</v>
      </c>
      <c r="S68" s="247"/>
      <c r="T68" s="248"/>
      <c r="V68" s="246">
        <f t="shared" si="53"/>
        <v>0</v>
      </c>
      <c r="W68" s="247"/>
      <c r="X68" s="248"/>
      <c r="Z68" s="195"/>
    </row>
    <row r="69" spans="1:26" s="192" customFormat="1" x14ac:dyDescent="0.25">
      <c r="A69" s="324" t="s">
        <v>29</v>
      </c>
      <c r="B69" s="332">
        <v>0</v>
      </c>
      <c r="C69" s="332">
        <v>0</v>
      </c>
      <c r="D69" s="333">
        <v>0</v>
      </c>
      <c r="E69" s="262"/>
      <c r="F69" s="246">
        <f t="shared" si="49"/>
        <v>0</v>
      </c>
      <c r="G69" s="247"/>
      <c r="H69" s="248"/>
      <c r="J69" s="240">
        <f t="shared" si="50"/>
        <v>0</v>
      </c>
      <c r="K69" s="334">
        <v>0</v>
      </c>
      <c r="L69" s="335">
        <v>0</v>
      </c>
      <c r="N69" s="246">
        <f t="shared" si="51"/>
        <v>0</v>
      </c>
      <c r="O69" s="246"/>
      <c r="P69" s="337"/>
      <c r="R69" s="246">
        <f t="shared" si="52"/>
        <v>0</v>
      </c>
      <c r="S69" s="247"/>
      <c r="T69" s="248"/>
      <c r="V69" s="246">
        <f t="shared" si="53"/>
        <v>0</v>
      </c>
      <c r="W69" s="247"/>
      <c r="X69" s="248"/>
      <c r="Z69" s="195"/>
    </row>
    <row r="70" spans="1:26" s="192" customFormat="1" x14ac:dyDescent="0.25">
      <c r="A70" s="324" t="s">
        <v>144</v>
      </c>
      <c r="B70" s="332">
        <v>0</v>
      </c>
      <c r="C70" s="332">
        <v>0</v>
      </c>
      <c r="D70" s="333">
        <v>0</v>
      </c>
      <c r="E70" s="262"/>
      <c r="F70" s="246">
        <f t="shared" si="49"/>
        <v>0</v>
      </c>
      <c r="G70" s="247"/>
      <c r="H70" s="248"/>
      <c r="J70" s="240">
        <f t="shared" si="50"/>
        <v>0</v>
      </c>
      <c r="K70" s="334">
        <v>0</v>
      </c>
      <c r="L70" s="335">
        <v>0</v>
      </c>
      <c r="N70" s="246">
        <f t="shared" si="51"/>
        <v>0</v>
      </c>
      <c r="O70" s="246"/>
      <c r="P70" s="337"/>
      <c r="R70" s="246">
        <f t="shared" si="52"/>
        <v>0</v>
      </c>
      <c r="S70" s="247"/>
      <c r="T70" s="248"/>
      <c r="V70" s="246">
        <f t="shared" si="53"/>
        <v>0</v>
      </c>
      <c r="W70" s="247"/>
      <c r="X70" s="248"/>
      <c r="Z70" s="195"/>
    </row>
    <row r="71" spans="1:26" s="192" customFormat="1" x14ac:dyDescent="0.25">
      <c r="A71" s="264" t="s">
        <v>136</v>
      </c>
      <c r="B71" s="219">
        <f t="shared" ref="B71:D71" si="54">B53-B60</f>
        <v>-972497.69</v>
      </c>
      <c r="C71" s="220">
        <f t="shared" si="54"/>
        <v>0</v>
      </c>
      <c r="D71" s="221">
        <f t="shared" si="54"/>
        <v>-972497.69</v>
      </c>
      <c r="E71" s="222"/>
      <c r="F71" s="265">
        <f>F53-F60</f>
        <v>-1100</v>
      </c>
      <c r="G71" s="266"/>
      <c r="H71" s="267">
        <f>H53-H60</f>
        <v>-1100</v>
      </c>
      <c r="J71" s="226">
        <f t="shared" ref="J71:L71" si="55">J53-J60</f>
        <v>-1488803.46</v>
      </c>
      <c r="K71" s="227">
        <f t="shared" si="55"/>
        <v>0</v>
      </c>
      <c r="L71" s="228">
        <f t="shared" si="55"/>
        <v>-1488803.46</v>
      </c>
      <c r="N71" s="265">
        <f>N53-N60</f>
        <v>-1580</v>
      </c>
      <c r="O71" s="265">
        <f>O53-O60</f>
        <v>0</v>
      </c>
      <c r="P71" s="323">
        <f>P53-P60</f>
        <v>-1580</v>
      </c>
      <c r="R71" s="265">
        <f>R53-R60</f>
        <v>-1580000</v>
      </c>
      <c r="S71" s="266">
        <f>S53-S60</f>
        <v>0</v>
      </c>
      <c r="T71" s="267">
        <f>T53-T60</f>
        <v>-1580000</v>
      </c>
      <c r="V71" s="265">
        <f>V53-V60</f>
        <v>-1560000</v>
      </c>
      <c r="W71" s="266">
        <f>W53-W60</f>
        <v>0</v>
      </c>
      <c r="X71" s="267">
        <f>X53-X60</f>
        <v>-1560000</v>
      </c>
      <c r="Z71" s="195"/>
    </row>
    <row r="72" spans="1:26" s="192" customFormat="1" x14ac:dyDescent="0.25">
      <c r="A72" s="259" t="s">
        <v>137</v>
      </c>
      <c r="B72" s="260">
        <f>+C72+D72</f>
        <v>972498</v>
      </c>
      <c r="C72" s="303">
        <v>0</v>
      </c>
      <c r="D72" s="261">
        <v>972498</v>
      </c>
      <c r="E72" s="262"/>
      <c r="F72" s="272">
        <f>+G72+H72</f>
        <v>1100</v>
      </c>
      <c r="G72" s="273"/>
      <c r="H72" s="274">
        <v>1100</v>
      </c>
      <c r="J72" s="240">
        <f t="shared" ref="J72" si="56">+K72+L72</f>
        <v>1580000</v>
      </c>
      <c r="K72" s="304">
        <v>0</v>
      </c>
      <c r="L72" s="263">
        <v>1580000</v>
      </c>
      <c r="N72" s="272">
        <f>+O72+P72</f>
        <v>1580</v>
      </c>
      <c r="O72" s="273"/>
      <c r="P72" s="274">
        <v>1580</v>
      </c>
      <c r="R72" s="272">
        <f>+S72+T72</f>
        <v>1580000</v>
      </c>
      <c r="S72" s="273"/>
      <c r="T72" s="274">
        <f>-T71</f>
        <v>1580000</v>
      </c>
      <c r="V72" s="272">
        <f>+W72+X72</f>
        <v>1560000</v>
      </c>
      <c r="W72" s="273"/>
      <c r="X72" s="274">
        <f>-X71</f>
        <v>1560000</v>
      </c>
      <c r="Z72" s="195"/>
    </row>
    <row r="73" spans="1:26" s="192" customFormat="1" ht="15.75" thickBot="1" x14ac:dyDescent="0.3">
      <c r="A73" s="338" t="s">
        <v>138</v>
      </c>
      <c r="B73" s="307">
        <f>B71+B72</f>
        <v>0.31000000005587935</v>
      </c>
      <c r="C73" s="308">
        <f t="shared" ref="C73:D73" si="57">C71+C72</f>
        <v>0</v>
      </c>
      <c r="D73" s="309">
        <f t="shared" si="57"/>
        <v>0.31000000005587935</v>
      </c>
      <c r="E73" s="252"/>
      <c r="F73" s="283">
        <f>F53-F60+F72</f>
        <v>0</v>
      </c>
      <c r="G73" s="284"/>
      <c r="H73" s="285">
        <f>H53-H60</f>
        <v>-1100</v>
      </c>
      <c r="J73" s="310">
        <f>J71+J72</f>
        <v>91196.540000000037</v>
      </c>
      <c r="K73" s="311">
        <f t="shared" ref="K73:L73" si="58">K71+K72</f>
        <v>0</v>
      </c>
      <c r="L73" s="312">
        <f t="shared" si="58"/>
        <v>91196.540000000037</v>
      </c>
      <c r="N73" s="283">
        <f>N71+N72</f>
        <v>0</v>
      </c>
      <c r="O73" s="283">
        <f>O71+O72</f>
        <v>0</v>
      </c>
      <c r="P73" s="339">
        <f>P71+P72</f>
        <v>0</v>
      </c>
      <c r="R73" s="283">
        <f>R71+R72</f>
        <v>0</v>
      </c>
      <c r="S73" s="284">
        <f>S71+S72</f>
        <v>0</v>
      </c>
      <c r="T73" s="285">
        <f>T71+T72</f>
        <v>0</v>
      </c>
      <c r="V73" s="283">
        <f>V71+V72</f>
        <v>0</v>
      </c>
      <c r="W73" s="284">
        <f>W71+W72</f>
        <v>0</v>
      </c>
      <c r="X73" s="285">
        <f>X71+X72</f>
        <v>0</v>
      </c>
      <c r="Z73" s="195"/>
    </row>
    <row r="74" spans="1:26" s="192" customFormat="1" ht="15.75" thickBot="1" x14ac:dyDescent="0.3">
      <c r="A74" s="313"/>
      <c r="B74" s="314"/>
      <c r="C74" s="314"/>
      <c r="D74" s="314"/>
      <c r="E74" s="314"/>
      <c r="F74" s="314"/>
      <c r="G74" s="314"/>
      <c r="J74" s="315"/>
      <c r="K74" s="315"/>
      <c r="L74" s="315"/>
      <c r="Z74" s="195"/>
    </row>
    <row r="75" spans="1:26" s="192" customFormat="1" ht="15.75" thickBot="1" x14ac:dyDescent="0.3">
      <c r="A75" s="316" t="s">
        <v>145</v>
      </c>
      <c r="B75" s="292" t="s">
        <v>41</v>
      </c>
      <c r="C75" s="293" t="s">
        <v>125</v>
      </c>
      <c r="D75" s="294" t="s">
        <v>126</v>
      </c>
      <c r="E75" s="295"/>
      <c r="F75" s="200" t="s">
        <v>41</v>
      </c>
      <c r="G75" s="201" t="s">
        <v>125</v>
      </c>
      <c r="H75" s="202" t="s">
        <v>126</v>
      </c>
      <c r="J75" s="203" t="s">
        <v>41</v>
      </c>
      <c r="K75" s="204" t="s">
        <v>125</v>
      </c>
      <c r="L75" s="205" t="s">
        <v>126</v>
      </c>
      <c r="N75" s="200" t="s">
        <v>41</v>
      </c>
      <c r="O75" s="201" t="s">
        <v>125</v>
      </c>
      <c r="P75" s="202" t="s">
        <v>126</v>
      </c>
      <c r="R75" s="200" t="s">
        <v>41</v>
      </c>
      <c r="S75" s="201" t="s">
        <v>125</v>
      </c>
      <c r="T75" s="202" t="s">
        <v>126</v>
      </c>
      <c r="V75" s="200" t="s">
        <v>41</v>
      </c>
      <c r="W75" s="201" t="s">
        <v>125</v>
      </c>
      <c r="X75" s="202" t="s">
        <v>126</v>
      </c>
      <c r="Z75" s="195"/>
    </row>
    <row r="76" spans="1:26" s="192" customFormat="1" x14ac:dyDescent="0.25">
      <c r="A76" s="317" t="s">
        <v>127</v>
      </c>
      <c r="B76" s="208"/>
      <c r="C76" s="209"/>
      <c r="D76" s="210"/>
      <c r="E76" s="211"/>
      <c r="F76" s="296"/>
      <c r="G76" s="297"/>
      <c r="H76" s="298"/>
      <c r="J76" s="215"/>
      <c r="K76" s="216"/>
      <c r="L76" s="217"/>
      <c r="N76" s="296"/>
      <c r="O76" s="297"/>
      <c r="P76" s="298"/>
      <c r="R76" s="319"/>
      <c r="S76" s="320"/>
      <c r="T76" s="321"/>
      <c r="V76" s="319"/>
      <c r="W76" s="320"/>
      <c r="X76" s="321"/>
      <c r="Z76" s="195"/>
    </row>
    <row r="77" spans="1:26" s="192" customFormat="1" x14ac:dyDescent="0.25">
      <c r="A77" s="322" t="s">
        <v>130</v>
      </c>
      <c r="B77" s="219">
        <f>+B78+B79+B80+B81+B82+B83</f>
        <v>31925885.41</v>
      </c>
      <c r="C77" s="219">
        <f>C78+SUM(C80:C83)</f>
        <v>3101091.8</v>
      </c>
      <c r="D77" s="221">
        <f>D78+SUM(D80:D83)</f>
        <v>28824793.609999999</v>
      </c>
      <c r="E77" s="222"/>
      <c r="F77" s="265">
        <v>31400</v>
      </c>
      <c r="G77" s="266">
        <v>3300</v>
      </c>
      <c r="H77" s="267">
        <v>28100</v>
      </c>
      <c r="J77" s="226">
        <f t="shared" ref="J77:L77" si="59">SUM(J78:J83)</f>
        <v>34457847.68</v>
      </c>
      <c r="K77" s="226">
        <f t="shared" si="59"/>
        <v>4690882.5099999988</v>
      </c>
      <c r="L77" s="226">
        <f t="shared" si="59"/>
        <v>29766965.170000002</v>
      </c>
      <c r="N77" s="265">
        <f>N78+SUM(N80:N83)</f>
        <v>31400</v>
      </c>
      <c r="O77" s="266">
        <f>O78+SUM(O80:O83)</f>
        <v>3300</v>
      </c>
      <c r="P77" s="267">
        <f>P78+SUM(P80:P83)</f>
        <v>28100</v>
      </c>
      <c r="R77" s="265">
        <f>R78+SUM(R80:R83)</f>
        <v>33300000</v>
      </c>
      <c r="S77" s="266">
        <f>S78+SUM(S80:S83)</f>
        <v>3900000</v>
      </c>
      <c r="T77" s="267">
        <f>T78+SUM(T80:T83)</f>
        <v>29400000</v>
      </c>
      <c r="V77" s="265">
        <f>V78+SUM(V80:V83)</f>
        <v>40100000</v>
      </c>
      <c r="W77" s="266">
        <f>W78+SUM(W80:W83)</f>
        <v>5000000</v>
      </c>
      <c r="X77" s="267">
        <f>X78+SUM(X80:X83)</f>
        <v>35100000</v>
      </c>
      <c r="Z77" s="195"/>
    </row>
    <row r="78" spans="1:26" s="192" customFormat="1" x14ac:dyDescent="0.25">
      <c r="A78" s="324" t="s">
        <v>52</v>
      </c>
      <c r="B78" s="325">
        <v>27871575</v>
      </c>
      <c r="C78" s="325">
        <v>3100551.8</v>
      </c>
      <c r="D78" s="326">
        <v>24771023.199999999</v>
      </c>
      <c r="E78" s="301"/>
      <c r="F78" s="237">
        <v>26800</v>
      </c>
      <c r="G78" s="238">
        <v>3300</v>
      </c>
      <c r="H78" s="239">
        <v>23500</v>
      </c>
      <c r="J78" s="240">
        <f t="shared" ref="J78:J83" si="60">+K78+L78</f>
        <v>29462893.850000001</v>
      </c>
      <c r="K78" s="340">
        <f t="shared" ref="K78:L83" si="61">+K6+K30+K54</f>
        <v>4690648.4099999992</v>
      </c>
      <c r="L78" s="341">
        <f t="shared" si="61"/>
        <v>24772245.440000001</v>
      </c>
      <c r="N78" s="237">
        <f t="shared" ref="N78:N83" si="62">+O78+P78</f>
        <v>26800</v>
      </c>
      <c r="O78" s="238">
        <f t="shared" ref="O78:P83" si="63">+O6+O30+O54</f>
        <v>3300</v>
      </c>
      <c r="P78" s="239">
        <f t="shared" si="63"/>
        <v>23500</v>
      </c>
      <c r="R78" s="237">
        <f t="shared" ref="R78:R83" si="64">+S78+T78</f>
        <v>28700000</v>
      </c>
      <c r="S78" s="238">
        <f t="shared" ref="S78:T83" si="65">+S6+S30+S54</f>
        <v>3900000</v>
      </c>
      <c r="T78" s="239">
        <f t="shared" si="65"/>
        <v>24800000</v>
      </c>
      <c r="V78" s="237">
        <f t="shared" ref="V78:V83" si="66">+W78+X78</f>
        <v>34020000</v>
      </c>
      <c r="W78" s="238">
        <f t="shared" ref="W78:X83" si="67">+W6+W30+W54</f>
        <v>4950000</v>
      </c>
      <c r="X78" s="239">
        <f t="shared" si="67"/>
        <v>29070000</v>
      </c>
      <c r="Y78" s="305"/>
      <c r="Z78" s="195"/>
    </row>
    <row r="79" spans="1:26" s="192" customFormat="1" ht="30" x14ac:dyDescent="0.25">
      <c r="A79" s="330" t="s">
        <v>132</v>
      </c>
      <c r="B79" s="325">
        <v>0</v>
      </c>
      <c r="C79" s="325">
        <v>0</v>
      </c>
      <c r="D79" s="326">
        <v>0</v>
      </c>
      <c r="E79" s="301"/>
      <c r="F79" s="237">
        <v>0</v>
      </c>
      <c r="G79" s="238">
        <v>0</v>
      </c>
      <c r="H79" s="239">
        <v>0</v>
      </c>
      <c r="J79" s="240">
        <f t="shared" si="60"/>
        <v>1532193.3</v>
      </c>
      <c r="K79" s="340">
        <f t="shared" si="61"/>
        <v>0</v>
      </c>
      <c r="L79" s="341">
        <f t="shared" si="61"/>
        <v>1532193.3</v>
      </c>
      <c r="N79" s="237">
        <f t="shared" si="62"/>
        <v>0</v>
      </c>
      <c r="O79" s="238">
        <f t="shared" si="63"/>
        <v>0</v>
      </c>
      <c r="P79" s="239">
        <f t="shared" si="63"/>
        <v>0</v>
      </c>
      <c r="R79" s="237">
        <f t="shared" si="64"/>
        <v>0</v>
      </c>
      <c r="S79" s="238">
        <f t="shared" si="65"/>
        <v>0</v>
      </c>
      <c r="T79" s="239">
        <f t="shared" si="65"/>
        <v>0</v>
      </c>
      <c r="V79" s="237">
        <f t="shared" si="66"/>
        <v>0</v>
      </c>
      <c r="W79" s="238">
        <f t="shared" si="67"/>
        <v>0</v>
      </c>
      <c r="X79" s="239">
        <f t="shared" si="67"/>
        <v>0</v>
      </c>
      <c r="Y79" s="305"/>
      <c r="Z79" s="195"/>
    </row>
    <row r="80" spans="1:26" s="192" customFormat="1" ht="30" x14ac:dyDescent="0.25">
      <c r="A80" s="330" t="s">
        <v>133</v>
      </c>
      <c r="B80" s="325">
        <v>1372726</v>
      </c>
      <c r="C80" s="325">
        <v>0</v>
      </c>
      <c r="D80" s="326">
        <v>1372726</v>
      </c>
      <c r="E80" s="301"/>
      <c r="F80" s="237">
        <v>1130</v>
      </c>
      <c r="G80" s="238">
        <v>0</v>
      </c>
      <c r="H80" s="239">
        <v>1130</v>
      </c>
      <c r="J80" s="240">
        <f t="shared" si="60"/>
        <v>0</v>
      </c>
      <c r="K80" s="340">
        <f t="shared" si="61"/>
        <v>0</v>
      </c>
      <c r="L80" s="341">
        <f t="shared" si="61"/>
        <v>0</v>
      </c>
      <c r="N80" s="237">
        <f t="shared" si="62"/>
        <v>1130</v>
      </c>
      <c r="O80" s="238">
        <f t="shared" si="63"/>
        <v>0</v>
      </c>
      <c r="P80" s="239">
        <f t="shared" si="63"/>
        <v>1130</v>
      </c>
      <c r="R80" s="237">
        <f t="shared" si="64"/>
        <v>1400000</v>
      </c>
      <c r="S80" s="238">
        <f t="shared" si="65"/>
        <v>0</v>
      </c>
      <c r="T80" s="239">
        <f t="shared" si="65"/>
        <v>1400000</v>
      </c>
      <c r="V80" s="237">
        <f t="shared" si="66"/>
        <v>1200000</v>
      </c>
      <c r="W80" s="238">
        <f t="shared" si="67"/>
        <v>0</v>
      </c>
      <c r="X80" s="239">
        <f t="shared" si="67"/>
        <v>1200000</v>
      </c>
      <c r="Y80" s="305"/>
      <c r="Z80" s="195"/>
    </row>
    <row r="81" spans="1:27" s="192" customFormat="1" x14ac:dyDescent="0.25">
      <c r="A81" s="330" t="s">
        <v>46</v>
      </c>
      <c r="B81" s="325">
        <v>634526.80000000005</v>
      </c>
      <c r="C81" s="325">
        <v>0</v>
      </c>
      <c r="D81" s="326">
        <v>634526.80000000005</v>
      </c>
      <c r="E81" s="301"/>
      <c r="F81" s="237">
        <v>0</v>
      </c>
      <c r="G81" s="238">
        <v>0</v>
      </c>
      <c r="H81" s="239">
        <v>0</v>
      </c>
      <c r="J81" s="240">
        <f t="shared" si="60"/>
        <v>1295250.6399999999</v>
      </c>
      <c r="K81" s="340">
        <f t="shared" si="61"/>
        <v>0</v>
      </c>
      <c r="L81" s="341">
        <f t="shared" si="61"/>
        <v>1295250.6399999999</v>
      </c>
      <c r="N81" s="237">
        <f t="shared" si="62"/>
        <v>0</v>
      </c>
      <c r="O81" s="238">
        <f t="shared" si="63"/>
        <v>0</v>
      </c>
      <c r="P81" s="239">
        <f t="shared" si="63"/>
        <v>0</v>
      </c>
      <c r="R81" s="237">
        <f t="shared" si="64"/>
        <v>1000000</v>
      </c>
      <c r="S81" s="238">
        <f t="shared" si="65"/>
        <v>0</v>
      </c>
      <c r="T81" s="239">
        <f t="shared" si="65"/>
        <v>1000000</v>
      </c>
      <c r="V81" s="237">
        <f t="shared" si="66"/>
        <v>1400000</v>
      </c>
      <c r="W81" s="238">
        <f t="shared" si="67"/>
        <v>0</v>
      </c>
      <c r="X81" s="239">
        <f t="shared" si="67"/>
        <v>1400000</v>
      </c>
      <c r="Y81" s="305"/>
      <c r="Z81" s="195"/>
    </row>
    <row r="82" spans="1:27" s="192" customFormat="1" x14ac:dyDescent="0.25">
      <c r="A82" s="330" t="s">
        <v>47</v>
      </c>
      <c r="B82" s="325">
        <v>0</v>
      </c>
      <c r="C82" s="325">
        <v>0</v>
      </c>
      <c r="D82" s="326">
        <v>0</v>
      </c>
      <c r="E82" s="301"/>
      <c r="F82" s="237">
        <v>1000</v>
      </c>
      <c r="G82" s="238">
        <v>0</v>
      </c>
      <c r="H82" s="239">
        <v>1000</v>
      </c>
      <c r="J82" s="240">
        <f t="shared" si="60"/>
        <v>0</v>
      </c>
      <c r="K82" s="340">
        <f t="shared" si="61"/>
        <v>0</v>
      </c>
      <c r="L82" s="341">
        <f t="shared" si="61"/>
        <v>0</v>
      </c>
      <c r="N82" s="237">
        <f t="shared" si="62"/>
        <v>1000</v>
      </c>
      <c r="O82" s="238">
        <f t="shared" si="63"/>
        <v>0</v>
      </c>
      <c r="P82" s="239">
        <f t="shared" si="63"/>
        <v>1000</v>
      </c>
      <c r="R82" s="237">
        <f t="shared" si="64"/>
        <v>0</v>
      </c>
      <c r="S82" s="238">
        <f t="shared" si="65"/>
        <v>0</v>
      </c>
      <c r="T82" s="239">
        <f t="shared" si="65"/>
        <v>0</v>
      </c>
      <c r="V82" s="237">
        <f t="shared" si="66"/>
        <v>1500000</v>
      </c>
      <c r="W82" s="238">
        <f t="shared" si="67"/>
        <v>0</v>
      </c>
      <c r="X82" s="239">
        <f t="shared" si="67"/>
        <v>1500000</v>
      </c>
      <c r="Y82" s="305"/>
      <c r="Z82" s="195"/>
    </row>
    <row r="83" spans="1:27" s="192" customFormat="1" x14ac:dyDescent="0.25">
      <c r="A83" s="324" t="s">
        <v>2</v>
      </c>
      <c r="B83" s="325">
        <v>2047057.61</v>
      </c>
      <c r="C83" s="325">
        <v>540</v>
      </c>
      <c r="D83" s="326">
        <v>2046517.61</v>
      </c>
      <c r="E83" s="301"/>
      <c r="F83" s="237">
        <v>2470</v>
      </c>
      <c r="G83" s="238">
        <v>0</v>
      </c>
      <c r="H83" s="239">
        <v>2470</v>
      </c>
      <c r="J83" s="240">
        <f t="shared" si="60"/>
        <v>2167509.89</v>
      </c>
      <c r="K83" s="340">
        <f t="shared" si="61"/>
        <v>234.1</v>
      </c>
      <c r="L83" s="341">
        <f t="shared" si="61"/>
        <v>2167275.79</v>
      </c>
      <c r="N83" s="237">
        <f t="shared" si="62"/>
        <v>2470</v>
      </c>
      <c r="O83" s="238">
        <f t="shared" si="63"/>
        <v>0</v>
      </c>
      <c r="P83" s="239">
        <f t="shared" si="63"/>
        <v>2470</v>
      </c>
      <c r="R83" s="237">
        <f t="shared" si="64"/>
        <v>2200000</v>
      </c>
      <c r="S83" s="238">
        <f t="shared" si="65"/>
        <v>0</v>
      </c>
      <c r="T83" s="239">
        <f t="shared" si="65"/>
        <v>2200000</v>
      </c>
      <c r="V83" s="237">
        <f t="shared" si="66"/>
        <v>1980000</v>
      </c>
      <c r="W83" s="238">
        <f t="shared" si="67"/>
        <v>50000</v>
      </c>
      <c r="X83" s="239">
        <f t="shared" si="67"/>
        <v>1930000</v>
      </c>
      <c r="Y83" s="305"/>
      <c r="Z83" s="195"/>
    </row>
    <row r="84" spans="1:27" s="192" customFormat="1" x14ac:dyDescent="0.25">
      <c r="A84" s="322" t="s">
        <v>134</v>
      </c>
      <c r="B84" s="249">
        <f>SUM(B85:B93)</f>
        <v>65420596.219999999</v>
      </c>
      <c r="C84" s="250">
        <f t="shared" ref="C84" si="68">SUM(C85:C93)</f>
        <v>2457600.88</v>
      </c>
      <c r="D84" s="251">
        <f>SUM(D85:D93)</f>
        <v>62962995.340000004</v>
      </c>
      <c r="E84" s="252"/>
      <c r="F84" s="253">
        <v>69160</v>
      </c>
      <c r="G84" s="254">
        <v>2560</v>
      </c>
      <c r="H84" s="255">
        <v>66600</v>
      </c>
      <c r="J84" s="256">
        <f t="shared" ref="J84:K84" si="69">SUM(J85:J93)</f>
        <v>73708465.390000001</v>
      </c>
      <c r="K84" s="257">
        <f t="shared" si="69"/>
        <v>3659240</v>
      </c>
      <c r="L84" s="258">
        <f>SUM(L85:L93)</f>
        <v>70049225.390000001</v>
      </c>
      <c r="N84" s="265">
        <f>SUM(N85:N93)</f>
        <v>74413.8</v>
      </c>
      <c r="O84" s="254">
        <f>SUM(O85:O93)</f>
        <v>2560</v>
      </c>
      <c r="P84" s="255">
        <f>SUM(P85:P93)</f>
        <v>71853.8</v>
      </c>
      <c r="R84" s="265">
        <f>SUM(R85:R93)</f>
        <v>75300000</v>
      </c>
      <c r="S84" s="254">
        <f>SUM(S85:S93)</f>
        <v>2800000</v>
      </c>
      <c r="T84" s="255">
        <f>SUM(T85:T93)</f>
        <v>72500000</v>
      </c>
      <c r="V84" s="265">
        <f>SUM(V85:V93)</f>
        <v>86100000</v>
      </c>
      <c r="W84" s="254">
        <f>SUM(W85:W93)</f>
        <v>4385000</v>
      </c>
      <c r="X84" s="255">
        <f>SUM(X85:X93)</f>
        <v>81715000</v>
      </c>
      <c r="Y84" s="305"/>
      <c r="Z84" s="195"/>
    </row>
    <row r="85" spans="1:27" s="192" customFormat="1" x14ac:dyDescent="0.25">
      <c r="A85" s="324" t="s">
        <v>10</v>
      </c>
      <c r="B85" s="332">
        <v>2751617</v>
      </c>
      <c r="C85" s="332">
        <v>16970</v>
      </c>
      <c r="D85" s="333">
        <v>2734647</v>
      </c>
      <c r="E85" s="262"/>
      <c r="F85" s="246">
        <v>3680</v>
      </c>
      <c r="G85" s="247">
        <v>100</v>
      </c>
      <c r="H85" s="248">
        <v>3580</v>
      </c>
      <c r="J85" s="240">
        <f t="shared" ref="J85:J94" si="70">+K85+L85</f>
        <v>4893917.78</v>
      </c>
      <c r="K85" s="342">
        <f t="shared" ref="K85:L94" si="71">+K13+K37+K61</f>
        <v>136601.28</v>
      </c>
      <c r="L85" s="343">
        <f t="shared" si="71"/>
        <v>4757316.5</v>
      </c>
      <c r="N85" s="246">
        <f t="shared" ref="N85:N93" si="72">+O85+P85</f>
        <v>4343.8</v>
      </c>
      <c r="O85" s="247">
        <f t="shared" ref="O85:P94" si="73">+O13+O37+O61</f>
        <v>100</v>
      </c>
      <c r="P85" s="248">
        <f t="shared" si="73"/>
        <v>4243.8</v>
      </c>
      <c r="R85" s="246">
        <f t="shared" ref="R85:R94" si="74">+S85+T85</f>
        <v>4050000</v>
      </c>
      <c r="S85" s="247">
        <f t="shared" ref="S85:T94" si="75">+S13+S37+S61</f>
        <v>50000</v>
      </c>
      <c r="T85" s="248">
        <f t="shared" si="75"/>
        <v>4000000</v>
      </c>
      <c r="V85" s="246">
        <f t="shared" ref="V85:V94" si="76">+W85+X85</f>
        <v>5580000</v>
      </c>
      <c r="W85" s="247">
        <f t="shared" ref="W85:X94" si="77">+W13+W37+W61</f>
        <v>100000</v>
      </c>
      <c r="X85" s="248">
        <f t="shared" si="77"/>
        <v>5480000</v>
      </c>
      <c r="Y85" s="344"/>
      <c r="Z85" s="195"/>
      <c r="AA85" s="344"/>
    </row>
    <row r="86" spans="1:27" s="192" customFormat="1" x14ac:dyDescent="0.25">
      <c r="A86" s="324" t="s">
        <v>12</v>
      </c>
      <c r="B86" s="332">
        <v>8683194</v>
      </c>
      <c r="C86" s="332">
        <v>377172</v>
      </c>
      <c r="D86" s="333">
        <v>8306022</v>
      </c>
      <c r="E86" s="262"/>
      <c r="F86" s="246">
        <v>8900</v>
      </c>
      <c r="G86" s="247">
        <v>1100</v>
      </c>
      <c r="H86" s="248">
        <v>7800</v>
      </c>
      <c r="J86" s="240">
        <f t="shared" si="70"/>
        <v>9124184.3399999999</v>
      </c>
      <c r="K86" s="342">
        <f t="shared" si="71"/>
        <v>322130.24</v>
      </c>
      <c r="L86" s="343">
        <f t="shared" si="71"/>
        <v>8802054.0999999996</v>
      </c>
      <c r="N86" s="246">
        <f t="shared" si="72"/>
        <v>8900</v>
      </c>
      <c r="O86" s="247">
        <f t="shared" si="73"/>
        <v>1100</v>
      </c>
      <c r="P86" s="248">
        <f t="shared" si="73"/>
        <v>7800</v>
      </c>
      <c r="R86" s="246">
        <f t="shared" si="74"/>
        <v>8900000</v>
      </c>
      <c r="S86" s="247">
        <f t="shared" si="75"/>
        <v>1100000</v>
      </c>
      <c r="T86" s="248">
        <f t="shared" si="75"/>
        <v>7800000</v>
      </c>
      <c r="V86" s="246">
        <f t="shared" si="76"/>
        <v>9310000</v>
      </c>
      <c r="W86" s="247">
        <f t="shared" si="77"/>
        <v>850000</v>
      </c>
      <c r="X86" s="248">
        <f t="shared" si="77"/>
        <v>8460000</v>
      </c>
      <c r="Y86" s="344"/>
      <c r="Z86" s="195"/>
      <c r="AA86" s="344"/>
    </row>
    <row r="87" spans="1:27" s="192" customFormat="1" x14ac:dyDescent="0.25">
      <c r="A87" s="324" t="s">
        <v>14</v>
      </c>
      <c r="B87" s="332">
        <v>3180474</v>
      </c>
      <c r="C87" s="332"/>
      <c r="D87" s="333">
        <v>3180474</v>
      </c>
      <c r="E87" s="262"/>
      <c r="F87" s="246">
        <v>3320</v>
      </c>
      <c r="G87" s="247">
        <v>30</v>
      </c>
      <c r="H87" s="248">
        <v>3290</v>
      </c>
      <c r="J87" s="240">
        <f t="shared" si="70"/>
        <v>3613070.92</v>
      </c>
      <c r="K87" s="342">
        <f t="shared" si="71"/>
        <v>0</v>
      </c>
      <c r="L87" s="343">
        <f t="shared" si="71"/>
        <v>3613070.92</v>
      </c>
      <c r="N87" s="246">
        <f t="shared" si="72"/>
        <v>3320</v>
      </c>
      <c r="O87" s="247">
        <f t="shared" si="73"/>
        <v>30</v>
      </c>
      <c r="P87" s="248">
        <f t="shared" si="73"/>
        <v>3290</v>
      </c>
      <c r="R87" s="246">
        <f t="shared" si="74"/>
        <v>3800000</v>
      </c>
      <c r="S87" s="247">
        <f t="shared" si="75"/>
        <v>0</v>
      </c>
      <c r="T87" s="248">
        <f t="shared" si="75"/>
        <v>3800000</v>
      </c>
      <c r="V87" s="246">
        <f t="shared" si="76"/>
        <v>3940000</v>
      </c>
      <c r="W87" s="247">
        <f t="shared" si="77"/>
        <v>0</v>
      </c>
      <c r="X87" s="248">
        <f t="shared" si="77"/>
        <v>3940000</v>
      </c>
      <c r="Y87" s="344"/>
      <c r="Z87" s="195"/>
      <c r="AA87" s="344"/>
    </row>
    <row r="88" spans="1:27" s="192" customFormat="1" x14ac:dyDescent="0.25">
      <c r="A88" s="324" t="s">
        <v>16</v>
      </c>
      <c r="B88" s="332">
        <v>7755355</v>
      </c>
      <c r="C88" s="332">
        <v>69897</v>
      </c>
      <c r="D88" s="333">
        <v>7685458</v>
      </c>
      <c r="E88" s="262"/>
      <c r="F88" s="246">
        <v>10000</v>
      </c>
      <c r="G88" s="247">
        <v>40</v>
      </c>
      <c r="H88" s="248">
        <v>9960</v>
      </c>
      <c r="J88" s="240">
        <f t="shared" si="70"/>
        <v>8218157.75</v>
      </c>
      <c r="K88" s="342">
        <f t="shared" si="71"/>
        <v>48560</v>
      </c>
      <c r="L88" s="343">
        <f t="shared" si="71"/>
        <v>8169597.75</v>
      </c>
      <c r="N88" s="246">
        <f t="shared" si="72"/>
        <v>9940</v>
      </c>
      <c r="O88" s="247">
        <f t="shared" si="73"/>
        <v>40</v>
      </c>
      <c r="P88" s="248">
        <f t="shared" si="73"/>
        <v>9900</v>
      </c>
      <c r="R88" s="246">
        <f t="shared" si="74"/>
        <v>9060000</v>
      </c>
      <c r="S88" s="247">
        <f t="shared" si="75"/>
        <v>60000</v>
      </c>
      <c r="T88" s="248">
        <f t="shared" si="75"/>
        <v>9000000</v>
      </c>
      <c r="V88" s="246">
        <f t="shared" si="76"/>
        <v>9330000</v>
      </c>
      <c r="W88" s="247">
        <f t="shared" si="77"/>
        <v>50000</v>
      </c>
      <c r="X88" s="248">
        <f t="shared" si="77"/>
        <v>9280000</v>
      </c>
      <c r="Y88" s="344"/>
      <c r="Z88" s="195"/>
      <c r="AA88" s="344"/>
    </row>
    <row r="89" spans="1:27" s="192" customFormat="1" x14ac:dyDescent="0.25">
      <c r="A89" s="324" t="s">
        <v>18</v>
      </c>
      <c r="B89" s="332">
        <v>26104518</v>
      </c>
      <c r="C89" s="332">
        <v>900918</v>
      </c>
      <c r="D89" s="333">
        <v>25203600</v>
      </c>
      <c r="E89" s="262"/>
      <c r="F89" s="246">
        <v>28600</v>
      </c>
      <c r="G89" s="247">
        <v>980</v>
      </c>
      <c r="H89" s="248">
        <v>27620</v>
      </c>
      <c r="J89" s="240">
        <f t="shared" si="70"/>
        <v>26206738.000000004</v>
      </c>
      <c r="K89" s="342">
        <f t="shared" si="71"/>
        <v>1107661.8900000001</v>
      </c>
      <c r="L89" s="343">
        <f t="shared" si="71"/>
        <v>25099076.110000003</v>
      </c>
      <c r="N89" s="246">
        <f t="shared" si="72"/>
        <v>28600</v>
      </c>
      <c r="O89" s="247">
        <f t="shared" si="73"/>
        <v>980</v>
      </c>
      <c r="P89" s="248">
        <f t="shared" si="73"/>
        <v>27620</v>
      </c>
      <c r="R89" s="246">
        <f t="shared" si="74"/>
        <v>29770000</v>
      </c>
      <c r="S89" s="247">
        <f t="shared" si="75"/>
        <v>800000</v>
      </c>
      <c r="T89" s="248">
        <f t="shared" si="75"/>
        <v>28970000</v>
      </c>
      <c r="V89" s="246">
        <f t="shared" si="76"/>
        <v>31590000</v>
      </c>
      <c r="W89" s="247">
        <f t="shared" si="77"/>
        <v>1160000</v>
      </c>
      <c r="X89" s="248">
        <f t="shared" si="77"/>
        <v>30430000</v>
      </c>
      <c r="Y89" s="344"/>
      <c r="Z89" s="195"/>
      <c r="AA89" s="344"/>
    </row>
    <row r="90" spans="1:27" s="192" customFormat="1" ht="28.5" x14ac:dyDescent="0.25">
      <c r="A90" s="324" t="s">
        <v>23</v>
      </c>
      <c r="B90" s="332">
        <v>8155950</v>
      </c>
      <c r="C90" s="332">
        <v>245803</v>
      </c>
      <c r="D90" s="333">
        <v>7910147</v>
      </c>
      <c r="E90" s="262"/>
      <c r="F90" s="246">
        <v>8980</v>
      </c>
      <c r="G90" s="247">
        <v>200</v>
      </c>
      <c r="H90" s="248">
        <v>8780</v>
      </c>
      <c r="J90" s="240">
        <f t="shared" si="70"/>
        <v>8168023</v>
      </c>
      <c r="K90" s="342">
        <f t="shared" si="71"/>
        <v>231819.95</v>
      </c>
      <c r="L90" s="343">
        <f t="shared" si="71"/>
        <v>7936203.0499999998</v>
      </c>
      <c r="N90" s="246">
        <f t="shared" si="72"/>
        <v>8980</v>
      </c>
      <c r="O90" s="247">
        <f t="shared" si="73"/>
        <v>200</v>
      </c>
      <c r="P90" s="248">
        <f t="shared" si="73"/>
        <v>8780</v>
      </c>
      <c r="R90" s="246">
        <f t="shared" si="74"/>
        <v>9160000</v>
      </c>
      <c r="S90" s="247">
        <f t="shared" si="75"/>
        <v>250000</v>
      </c>
      <c r="T90" s="248">
        <f t="shared" si="75"/>
        <v>8910000</v>
      </c>
      <c r="V90" s="246">
        <f t="shared" si="76"/>
        <v>9890000</v>
      </c>
      <c r="W90" s="247">
        <f t="shared" si="77"/>
        <v>295000</v>
      </c>
      <c r="X90" s="248">
        <f t="shared" si="77"/>
        <v>9595000</v>
      </c>
      <c r="Y90" s="344"/>
      <c r="Z90" s="195"/>
      <c r="AA90" s="344"/>
    </row>
    <row r="91" spans="1:27" s="192" customFormat="1" x14ac:dyDescent="0.25">
      <c r="A91" s="324" t="s">
        <v>25</v>
      </c>
      <c r="B91" s="332">
        <v>0</v>
      </c>
      <c r="C91" s="332"/>
      <c r="D91" s="333"/>
      <c r="E91" s="262"/>
      <c r="F91" s="246">
        <v>60</v>
      </c>
      <c r="G91" s="247">
        <v>0</v>
      </c>
      <c r="H91" s="248">
        <v>60</v>
      </c>
      <c r="J91" s="240">
        <f t="shared" si="70"/>
        <v>35919</v>
      </c>
      <c r="K91" s="342">
        <f t="shared" si="71"/>
        <v>0</v>
      </c>
      <c r="L91" s="343">
        <f t="shared" si="71"/>
        <v>35919</v>
      </c>
      <c r="N91" s="246">
        <f t="shared" si="72"/>
        <v>60</v>
      </c>
      <c r="O91" s="247">
        <f t="shared" si="73"/>
        <v>0</v>
      </c>
      <c r="P91" s="248">
        <f t="shared" si="73"/>
        <v>60</v>
      </c>
      <c r="R91" s="246">
        <f t="shared" si="74"/>
        <v>60000</v>
      </c>
      <c r="S91" s="247">
        <f t="shared" si="75"/>
        <v>0</v>
      </c>
      <c r="T91" s="248">
        <f t="shared" si="75"/>
        <v>60000</v>
      </c>
      <c r="V91" s="246">
        <f t="shared" si="76"/>
        <v>60000</v>
      </c>
      <c r="W91" s="247">
        <f t="shared" si="77"/>
        <v>0</v>
      </c>
      <c r="X91" s="248">
        <f t="shared" si="77"/>
        <v>60000</v>
      </c>
      <c r="Y91" s="344"/>
      <c r="Z91" s="195"/>
      <c r="AA91" s="344"/>
    </row>
    <row r="92" spans="1:27" s="192" customFormat="1" ht="28.5" x14ac:dyDescent="0.25">
      <c r="A92" s="324" t="s">
        <v>27</v>
      </c>
      <c r="B92" s="332">
        <v>3389112</v>
      </c>
      <c r="C92" s="332"/>
      <c r="D92" s="333">
        <v>3389112</v>
      </c>
      <c r="E92" s="262"/>
      <c r="F92" s="246">
        <v>2560</v>
      </c>
      <c r="G92" s="247">
        <v>10</v>
      </c>
      <c r="H92" s="248">
        <v>2550</v>
      </c>
      <c r="J92" s="240">
        <f t="shared" si="70"/>
        <v>8330984.8600000003</v>
      </c>
      <c r="K92" s="342">
        <f t="shared" si="71"/>
        <v>613453</v>
      </c>
      <c r="L92" s="343">
        <f t="shared" si="71"/>
        <v>7717531.8600000003</v>
      </c>
      <c r="N92" s="246">
        <f t="shared" si="72"/>
        <v>7210</v>
      </c>
      <c r="O92" s="247">
        <f t="shared" si="73"/>
        <v>10</v>
      </c>
      <c r="P92" s="248">
        <f t="shared" si="73"/>
        <v>7200</v>
      </c>
      <c r="R92" s="246">
        <f t="shared" si="74"/>
        <v>7640000</v>
      </c>
      <c r="S92" s="247">
        <f t="shared" si="75"/>
        <v>440000</v>
      </c>
      <c r="T92" s="248">
        <f t="shared" si="75"/>
        <v>7200000</v>
      </c>
      <c r="V92" s="246">
        <f t="shared" si="76"/>
        <v>10550000</v>
      </c>
      <c r="W92" s="247">
        <f t="shared" si="77"/>
        <v>0</v>
      </c>
      <c r="X92" s="248">
        <f t="shared" si="77"/>
        <v>10550000</v>
      </c>
      <c r="Y92" s="344"/>
      <c r="Z92" s="195"/>
      <c r="AA92" s="344"/>
    </row>
    <row r="93" spans="1:27" s="192" customFormat="1" x14ac:dyDescent="0.25">
      <c r="A93" s="324" t="s">
        <v>29</v>
      </c>
      <c r="B93" s="332">
        <v>5400376.2199999997</v>
      </c>
      <c r="C93" s="332">
        <v>846840.88</v>
      </c>
      <c r="D93" s="333">
        <v>4553535.34</v>
      </c>
      <c r="E93" s="262"/>
      <c r="F93" s="246">
        <v>3060</v>
      </c>
      <c r="G93" s="247">
        <v>100</v>
      </c>
      <c r="H93" s="248">
        <v>2960</v>
      </c>
      <c r="J93" s="240">
        <f t="shared" si="70"/>
        <v>5117469.74</v>
      </c>
      <c r="K93" s="342">
        <f t="shared" si="71"/>
        <v>1199013.6399999999</v>
      </c>
      <c r="L93" s="343">
        <f t="shared" si="71"/>
        <v>3918456.1</v>
      </c>
      <c r="N93" s="246">
        <f t="shared" si="72"/>
        <v>3060</v>
      </c>
      <c r="O93" s="247">
        <f t="shared" si="73"/>
        <v>100</v>
      </c>
      <c r="P93" s="248">
        <f t="shared" si="73"/>
        <v>2960</v>
      </c>
      <c r="R93" s="246">
        <f t="shared" si="74"/>
        <v>2860000</v>
      </c>
      <c r="S93" s="247">
        <f t="shared" si="75"/>
        <v>100000</v>
      </c>
      <c r="T93" s="248">
        <f t="shared" si="75"/>
        <v>2760000</v>
      </c>
      <c r="V93" s="246">
        <f t="shared" si="76"/>
        <v>5850000</v>
      </c>
      <c r="W93" s="247">
        <f t="shared" si="77"/>
        <v>1930000</v>
      </c>
      <c r="X93" s="248">
        <f t="shared" si="77"/>
        <v>3920000</v>
      </c>
      <c r="Y93" s="344"/>
      <c r="Z93" s="195"/>
      <c r="AA93" s="344"/>
    </row>
    <row r="94" spans="1:27" s="192" customFormat="1" x14ac:dyDescent="0.25">
      <c r="A94" s="324" t="s">
        <v>144</v>
      </c>
      <c r="B94" s="332">
        <v>0</v>
      </c>
      <c r="C94" s="332"/>
      <c r="D94" s="271"/>
      <c r="E94" s="262"/>
      <c r="F94" s="246"/>
      <c r="G94" s="247">
        <v>0</v>
      </c>
      <c r="H94" s="248"/>
      <c r="J94" s="240">
        <f t="shared" si="70"/>
        <v>0</v>
      </c>
      <c r="K94" s="342">
        <f t="shared" si="71"/>
        <v>0</v>
      </c>
      <c r="L94" s="345">
        <f t="shared" si="71"/>
        <v>0</v>
      </c>
      <c r="N94" s="246"/>
      <c r="O94" s="247">
        <f t="shared" si="73"/>
        <v>0</v>
      </c>
      <c r="P94" s="248"/>
      <c r="R94" s="246">
        <f t="shared" si="74"/>
        <v>0</v>
      </c>
      <c r="S94" s="247">
        <f t="shared" si="75"/>
        <v>0</v>
      </c>
      <c r="T94" s="248">
        <f t="shared" si="75"/>
        <v>0</v>
      </c>
      <c r="V94" s="246">
        <f t="shared" si="76"/>
        <v>0</v>
      </c>
      <c r="W94" s="247">
        <f t="shared" si="77"/>
        <v>0</v>
      </c>
      <c r="X94" s="248">
        <f t="shared" si="77"/>
        <v>0</v>
      </c>
      <c r="Y94" s="305"/>
      <c r="Z94" s="195"/>
      <c r="AA94" s="344"/>
    </row>
    <row r="95" spans="1:27" s="192" customFormat="1" x14ac:dyDescent="0.25">
      <c r="A95" s="346" t="s">
        <v>146</v>
      </c>
      <c r="B95" s="219">
        <f t="shared" ref="B95:D95" si="78">B77-B84</f>
        <v>-33494710.809999999</v>
      </c>
      <c r="C95" s="219">
        <f t="shared" si="78"/>
        <v>643490.91999999993</v>
      </c>
      <c r="D95" s="347">
        <f t="shared" si="78"/>
        <v>-34138201.730000004</v>
      </c>
      <c r="E95" s="222"/>
      <c r="F95" s="265">
        <v>-37760</v>
      </c>
      <c r="G95" s="266">
        <v>740</v>
      </c>
      <c r="H95" s="267">
        <v>-38500</v>
      </c>
      <c r="J95" s="226">
        <f t="shared" ref="J95:L95" si="79">J77-J84</f>
        <v>-39250617.710000001</v>
      </c>
      <c r="K95" s="226">
        <f t="shared" si="79"/>
        <v>1031642.5099999988</v>
      </c>
      <c r="L95" s="348">
        <f t="shared" si="79"/>
        <v>-40282260.219999999</v>
      </c>
      <c r="N95" s="265">
        <f>N77-N84</f>
        <v>-43013.8</v>
      </c>
      <c r="O95" s="266">
        <f>O77-O84</f>
        <v>740</v>
      </c>
      <c r="P95" s="267">
        <f>P77-P84</f>
        <v>-43753.8</v>
      </c>
      <c r="R95" s="265">
        <f>R77-R84</f>
        <v>-42000000</v>
      </c>
      <c r="S95" s="266">
        <f>S77-S84</f>
        <v>1100000</v>
      </c>
      <c r="T95" s="267">
        <f>T77-T84</f>
        <v>-43100000</v>
      </c>
      <c r="V95" s="265">
        <f>V77-V84</f>
        <v>-46000000</v>
      </c>
      <c r="W95" s="266">
        <f>W77-W84</f>
        <v>615000</v>
      </c>
      <c r="X95" s="267">
        <f>X77-X84</f>
        <v>-46615000</v>
      </c>
      <c r="Y95" s="305"/>
      <c r="Z95" s="195"/>
      <c r="AA95" s="344"/>
    </row>
    <row r="96" spans="1:27" s="192" customFormat="1" x14ac:dyDescent="0.25">
      <c r="A96" s="259" t="s">
        <v>137</v>
      </c>
      <c r="B96" s="260">
        <v>36000000</v>
      </c>
      <c r="C96" s="303">
        <v>0</v>
      </c>
      <c r="D96" s="261">
        <v>36000000</v>
      </c>
      <c r="E96" s="262"/>
      <c r="F96" s="272">
        <v>37760</v>
      </c>
      <c r="G96" s="273">
        <v>0</v>
      </c>
      <c r="H96" s="274">
        <v>37760</v>
      </c>
      <c r="J96" s="240">
        <f t="shared" ref="J96" si="80">+K96+L96</f>
        <v>43013800</v>
      </c>
      <c r="K96" s="349">
        <f>+K24+K48+K72</f>
        <v>0</v>
      </c>
      <c r="L96" s="350">
        <f>+L24+L48+L72</f>
        <v>43013800</v>
      </c>
      <c r="N96" s="272">
        <f>+O96+P96</f>
        <v>43014</v>
      </c>
      <c r="O96" s="273">
        <f>+O24+O48+O72</f>
        <v>0</v>
      </c>
      <c r="P96" s="274">
        <f>+P24+P48+P72</f>
        <v>43014</v>
      </c>
      <c r="R96" s="272">
        <f>+S96+T96</f>
        <v>42000000</v>
      </c>
      <c r="S96" s="273">
        <f>+S24+S48+S72</f>
        <v>0</v>
      </c>
      <c r="T96" s="274">
        <f>+T24+T48+T72</f>
        <v>42000000</v>
      </c>
      <c r="V96" s="272">
        <f>+W96+X96</f>
        <v>46000000</v>
      </c>
      <c r="W96" s="273">
        <f>+W24+W48+W72</f>
        <v>0</v>
      </c>
      <c r="X96" s="274">
        <f>+X24+X48+X72</f>
        <v>46000000</v>
      </c>
      <c r="Y96" s="305"/>
      <c r="Z96" s="195"/>
    </row>
    <row r="97" spans="1:26" s="192" customFormat="1" ht="15.75" thickBot="1" x14ac:dyDescent="0.3">
      <c r="A97" s="338" t="s">
        <v>138</v>
      </c>
      <c r="B97" s="307">
        <f>B77-B84+B96</f>
        <v>2505289.1900000013</v>
      </c>
      <c r="C97" s="307">
        <f>C77-C84</f>
        <v>643490.91999999993</v>
      </c>
      <c r="D97" s="351">
        <f>D95+D96</f>
        <v>1861798.2699999958</v>
      </c>
      <c r="E97" s="252"/>
      <c r="F97" s="283">
        <v>0</v>
      </c>
      <c r="G97" s="284">
        <v>740</v>
      </c>
      <c r="H97" s="283">
        <v>-740</v>
      </c>
      <c r="J97" s="310">
        <f>J95+J96</f>
        <v>3763182.2899999991</v>
      </c>
      <c r="K97" s="310">
        <f>K77-K84</f>
        <v>1031642.5099999988</v>
      </c>
      <c r="L97" s="352">
        <f>L95+L96</f>
        <v>2731539.7800000012</v>
      </c>
      <c r="N97" s="283">
        <f>N77-N84+N96</f>
        <v>0.19999999999708962</v>
      </c>
      <c r="O97" s="284">
        <f>O77-O84</f>
        <v>740</v>
      </c>
      <c r="P97" s="285">
        <f>P77+P96-P84</f>
        <v>-739.80000000000291</v>
      </c>
      <c r="R97" s="283">
        <f>R77-R84+R96</f>
        <v>0</v>
      </c>
      <c r="S97" s="284">
        <f>S77-S84</f>
        <v>1100000</v>
      </c>
      <c r="T97" s="285">
        <f>T77+T96-T84</f>
        <v>-1100000</v>
      </c>
      <c r="V97" s="283">
        <f>V77-V84+V96</f>
        <v>0</v>
      </c>
      <c r="W97" s="284">
        <f>W77-W84</f>
        <v>615000</v>
      </c>
      <c r="X97" s="285">
        <f>X77+X96-X84</f>
        <v>-615000</v>
      </c>
      <c r="Y97" s="305"/>
      <c r="Z97" s="195"/>
    </row>
    <row r="98" spans="1:26" ht="15.75" thickBot="1" x14ac:dyDescent="0.3">
      <c r="A98" s="353"/>
      <c r="J98" s="354"/>
      <c r="K98" s="354"/>
      <c r="L98" s="355"/>
      <c r="N98" s="356"/>
      <c r="O98" s="356"/>
      <c r="P98" s="356"/>
    </row>
    <row r="99" spans="1:26" x14ac:dyDescent="0.25">
      <c r="N99" s="356" t="s">
        <v>147</v>
      </c>
      <c r="O99" s="356"/>
      <c r="P99" s="356"/>
      <c r="R99" t="s">
        <v>157</v>
      </c>
      <c r="T99" s="359">
        <f>+T89/(N89*1000)</f>
        <v>1.0129370629370629</v>
      </c>
    </row>
    <row r="100" spans="1:26" x14ac:dyDescent="0.25">
      <c r="N100" s="358" t="s">
        <v>148</v>
      </c>
      <c r="O100" s="358"/>
      <c r="P100" s="358"/>
      <c r="Q100" s="357"/>
    </row>
    <row r="101" spans="1:26" x14ac:dyDescent="0.25">
      <c r="O101" s="357"/>
      <c r="Q101" s="357"/>
      <c r="T101" s="359"/>
    </row>
    <row r="102" spans="1:26" x14ac:dyDescent="0.25">
      <c r="Q102" s="357"/>
    </row>
    <row r="103" spans="1:26" x14ac:dyDescent="0.25">
      <c r="Q103" s="357"/>
    </row>
  </sheetData>
  <mergeCells count="6">
    <mergeCell ref="V2:X2"/>
    <mergeCell ref="B2:D2"/>
    <mergeCell ref="F2:H2"/>
    <mergeCell ref="J2:L2"/>
    <mergeCell ref="N2:P2"/>
    <mergeCell ref="R2:T2"/>
  </mergeCells>
  <pageMargins left="0.23622047244094491" right="0.23622047244094491" top="0.35433070866141736" bottom="0.35433070866141736" header="0.31496062992125984" footer="0.31496062992125984"/>
  <pageSetup paperSize="9" scale="6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NR 2021</vt:lpstr>
      <vt:lpstr>střediska </vt:lpstr>
      <vt:lpstr>'NR 2021'!Oblast_tisku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Matějková Romana</cp:lastModifiedBy>
  <cp:lastPrinted>2020-08-27T10:50:27Z</cp:lastPrinted>
  <dcterms:created xsi:type="dcterms:W3CDTF">2017-02-23T12:10:09Z</dcterms:created>
  <dcterms:modified xsi:type="dcterms:W3CDTF">2020-10-08T10:44:42Z</dcterms:modified>
</cp:coreProperties>
</file>