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Střednědobý výhled rozpočtu SMCH a Organizací\SVR 2023-2024 - ŠKOLY a PO\"/>
    </mc:Choice>
  </mc:AlternateContent>
  <bookViews>
    <workbookView xWindow="0" yWindow="0" windowWidth="28800" windowHeight="12300" tabRatio="734"/>
  </bookViews>
  <sheets>
    <sheet name="CHK" sheetId="1" r:id="rId1"/>
    <sheet name="MěLe" sheetId="3" r:id="rId2"/>
    <sheet name="SOS" sheetId="5" r:id="rId3"/>
    <sheet name="ZOO" sheetId="8" r:id="rId4"/>
    <sheet name="TSmCh" sheetId="7" r:id="rId5"/>
    <sheet name="2.ZŠ" sheetId="17" r:id="rId6"/>
    <sheet name="3.ZŠ" sheetId="14" r:id="rId7"/>
    <sheet name="4.ZŠ" sheetId="13" r:id="rId8"/>
    <sheet name="5.ZŠ" sheetId="15" r:id="rId9"/>
    <sheet name="7.ZŠ" sheetId="12" r:id="rId10"/>
    <sheet name="8.ZŠ" sheetId="16" r:id="rId11"/>
    <sheet name="12.ZŠ" sheetId="11" r:id="rId12"/>
    <sheet name="13.ŽS" sheetId="10" r:id="rId13"/>
    <sheet name="MŠ" sheetId="4" r:id="rId14"/>
    <sheet name="ZŠSaMŠ" sheetId="18" r:id="rId15"/>
    <sheet name="ZŠaMŠ 17. list" sheetId="9" r:id="rId16"/>
    <sheet name="SVČ" sheetId="6" r:id="rId17"/>
    <sheet name="ZUŠ" sheetId="2" r:id="rId18"/>
  </sheets>
  <externalReferences>
    <externalReference r:id="rId19"/>
    <externalReference r:id="rId20"/>
    <externalReference r:id="rId21"/>
  </externalReferences>
  <definedNames>
    <definedName name="_xlnm.Print_Area" localSheetId="11">'12.ZŠ'!$A$1:$AC$96</definedName>
    <definedName name="_xlnm.Print_Area" localSheetId="12">'13.ŽS'!$A$1:$AC$96</definedName>
    <definedName name="_xlnm.Print_Area" localSheetId="5">'2.ZŠ'!$B$2:$AB$94</definedName>
    <definedName name="_xlnm.Print_Area" localSheetId="6">'3.ZŠ'!$A$1:$AC$73</definedName>
    <definedName name="_xlnm.Print_Area" localSheetId="7">'4.ZŠ'!$A$1:$AC$96</definedName>
    <definedName name="_xlnm.Print_Area" localSheetId="8">'5.ZŠ'!$A$1:$AC$96</definedName>
    <definedName name="_xlnm.Print_Area" localSheetId="9">'7.ZŠ'!$A$1:$AC$96</definedName>
    <definedName name="_xlnm.Print_Area" localSheetId="10">'8.ZŠ'!$A$1:$AC$96</definedName>
    <definedName name="_xlnm.Print_Area" localSheetId="0">CHK!$A$1:$AC$95</definedName>
    <definedName name="_xlnm.Print_Area" localSheetId="1">MěLe!$A$1:$AC$98</definedName>
    <definedName name="_xlnm.Print_Area" localSheetId="13">MŠ!$A$1:$AC$96</definedName>
    <definedName name="_xlnm.Print_Area" localSheetId="2">SOS!$A$1:$AC$96</definedName>
    <definedName name="_xlnm.Print_Area" localSheetId="16">SVČ!$A$1:$AC$96</definedName>
    <definedName name="_xlnm.Print_Area" localSheetId="4">TSmCh!$A$1:$AC$80</definedName>
    <definedName name="_xlnm.Print_Area" localSheetId="3">ZOO!$A$1:$AC$85</definedName>
    <definedName name="_xlnm.Print_Area" localSheetId="15">'ZŠaMŠ 17. list'!$A$1:$AC$75</definedName>
    <definedName name="_xlnm.Print_Area" localSheetId="14">ZŠSaMŠ!$A$1:$AC$96</definedName>
    <definedName name="_xlnm.Print_Area" localSheetId="17">ZUŠ!$A$1:$AC$77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8" l="1"/>
  <c r="I15" i="18"/>
  <c r="M15" i="18"/>
  <c r="O15" i="18"/>
  <c r="S15" i="18"/>
  <c r="U15" i="18"/>
  <c r="Y15" i="18"/>
  <c r="AA15" i="18"/>
  <c r="AB15" i="18"/>
  <c r="G16" i="18"/>
  <c r="I16" i="18" s="1"/>
  <c r="M16" i="18"/>
  <c r="O16" i="18"/>
  <c r="O24" i="18" s="1"/>
  <c r="S16" i="18"/>
  <c r="U16" i="18" s="1"/>
  <c r="Y16" i="18"/>
  <c r="AA16" i="18"/>
  <c r="AA24" i="18" s="1"/>
  <c r="AB16" i="18"/>
  <c r="G17" i="18"/>
  <c r="I17" i="18"/>
  <c r="M17" i="18"/>
  <c r="O17" i="18"/>
  <c r="S17" i="18"/>
  <c r="U17" i="18"/>
  <c r="Y17" i="18"/>
  <c r="AA17" i="18"/>
  <c r="AB17" i="18" s="1"/>
  <c r="G18" i="18"/>
  <c r="I18" i="18"/>
  <c r="M18" i="18"/>
  <c r="O18" i="18" s="1"/>
  <c r="S18" i="18"/>
  <c r="U18" i="18"/>
  <c r="Y18" i="18"/>
  <c r="AA18" i="18" s="1"/>
  <c r="G19" i="18"/>
  <c r="I19" i="18"/>
  <c r="M19" i="18"/>
  <c r="O19" i="18"/>
  <c r="S19" i="18"/>
  <c r="U19" i="18"/>
  <c r="Y19" i="18"/>
  <c r="AA19" i="18"/>
  <c r="AB19" i="18"/>
  <c r="I20" i="18"/>
  <c r="M20" i="18"/>
  <c r="O20" i="18"/>
  <c r="S20" i="18"/>
  <c r="U20" i="18"/>
  <c r="Y20" i="18"/>
  <c r="AA20" i="18"/>
  <c r="AB20" i="18"/>
  <c r="G21" i="18"/>
  <c r="I21" i="18" s="1"/>
  <c r="M21" i="18"/>
  <c r="O21" i="18"/>
  <c r="S21" i="18"/>
  <c r="U21" i="18" s="1"/>
  <c r="Y21" i="18"/>
  <c r="AA21" i="18"/>
  <c r="AB21" i="18"/>
  <c r="G22" i="18"/>
  <c r="I22" i="18"/>
  <c r="M22" i="18"/>
  <c r="O22" i="18"/>
  <c r="S22" i="18"/>
  <c r="U22" i="18"/>
  <c r="Y22" i="18"/>
  <c r="AA22" i="18"/>
  <c r="AB22" i="18" s="1"/>
  <c r="G23" i="18"/>
  <c r="I23" i="18"/>
  <c r="M23" i="18"/>
  <c r="O23" i="18" s="1"/>
  <c r="S23" i="18"/>
  <c r="U23" i="18"/>
  <c r="Y23" i="18"/>
  <c r="AA23" i="18" s="1"/>
  <c r="AB23" i="18" s="1"/>
  <c r="D24" i="18"/>
  <c r="G24" i="18" s="1"/>
  <c r="E24" i="18"/>
  <c r="E40" i="18" s="1"/>
  <c r="F24" i="18"/>
  <c r="H24" i="18"/>
  <c r="J24" i="18"/>
  <c r="K24" i="18"/>
  <c r="L24" i="18"/>
  <c r="M24" i="18"/>
  <c r="M40" i="18" s="1"/>
  <c r="N24" i="18"/>
  <c r="P24" i="18"/>
  <c r="S24" i="18" s="1"/>
  <c r="Q24" i="18"/>
  <c r="Q40" i="18" s="1"/>
  <c r="R24" i="18"/>
  <c r="T24" i="18"/>
  <c r="V24" i="18"/>
  <c r="W24" i="18"/>
  <c r="X24" i="18"/>
  <c r="Y24" i="18"/>
  <c r="Y40" i="18" s="1"/>
  <c r="Z24" i="18"/>
  <c r="G28" i="18"/>
  <c r="I28" i="18" s="1"/>
  <c r="M28" i="18"/>
  <c r="O28" i="18"/>
  <c r="S28" i="18"/>
  <c r="U28" i="18" s="1"/>
  <c r="Y28" i="18"/>
  <c r="AA28" i="18"/>
  <c r="AB28" i="18"/>
  <c r="G29" i="18"/>
  <c r="I29" i="18"/>
  <c r="M29" i="18"/>
  <c r="O29" i="18"/>
  <c r="S29" i="18"/>
  <c r="U29" i="18"/>
  <c r="Y29" i="18"/>
  <c r="AA29" i="18"/>
  <c r="AB29" i="18" s="1"/>
  <c r="G30" i="18"/>
  <c r="I30" i="18"/>
  <c r="M30" i="18"/>
  <c r="O30" i="18" s="1"/>
  <c r="S30" i="18"/>
  <c r="U30" i="18"/>
  <c r="Y30" i="18"/>
  <c r="AA30" i="18" s="1"/>
  <c r="G31" i="18"/>
  <c r="I31" i="18"/>
  <c r="M31" i="18"/>
  <c r="O31" i="18"/>
  <c r="S31" i="18"/>
  <c r="U31" i="18"/>
  <c r="Y31" i="18"/>
  <c r="AA31" i="18"/>
  <c r="AB31" i="18"/>
  <c r="G32" i="18"/>
  <c r="I32" i="18" s="1"/>
  <c r="M32" i="18"/>
  <c r="O32" i="18"/>
  <c r="S32" i="18"/>
  <c r="U32" i="18" s="1"/>
  <c r="Y32" i="18"/>
  <c r="AA32" i="18"/>
  <c r="AB32" i="18"/>
  <c r="G33" i="18"/>
  <c r="I33" i="18"/>
  <c r="M33" i="18"/>
  <c r="O33" i="18"/>
  <c r="S33" i="18"/>
  <c r="U33" i="18"/>
  <c r="Y33" i="18"/>
  <c r="AA33" i="18"/>
  <c r="AB33" i="18" s="1"/>
  <c r="G34" i="18"/>
  <c r="I34" i="18"/>
  <c r="M34" i="18"/>
  <c r="O34" i="18" s="1"/>
  <c r="S34" i="18"/>
  <c r="U34" i="18"/>
  <c r="Y34" i="18"/>
  <c r="AA34" i="18" s="1"/>
  <c r="AB34" i="18" s="1"/>
  <c r="G35" i="18"/>
  <c r="I35" i="18"/>
  <c r="M35" i="18"/>
  <c r="O35" i="18"/>
  <c r="S35" i="18"/>
  <c r="U35" i="18"/>
  <c r="Y35" i="18"/>
  <c r="AA35" i="18"/>
  <c r="AB35" i="18"/>
  <c r="G36" i="18"/>
  <c r="I36" i="18" s="1"/>
  <c r="I39" i="18" s="1"/>
  <c r="M36" i="18"/>
  <c r="O36" i="18"/>
  <c r="S36" i="18"/>
  <c r="U36" i="18" s="1"/>
  <c r="Y36" i="18"/>
  <c r="AA36" i="18"/>
  <c r="AA39" i="18" s="1"/>
  <c r="AB36" i="18"/>
  <c r="G37" i="18"/>
  <c r="I37" i="18"/>
  <c r="M37" i="18"/>
  <c r="O37" i="18"/>
  <c r="S37" i="18"/>
  <c r="U37" i="18"/>
  <c r="Y37" i="18"/>
  <c r="AA37" i="18"/>
  <c r="AB37" i="18" s="1"/>
  <c r="G38" i="18"/>
  <c r="I38" i="18"/>
  <c r="M38" i="18"/>
  <c r="O38" i="18" s="1"/>
  <c r="S38" i="18"/>
  <c r="U38" i="18"/>
  <c r="Y38" i="18"/>
  <c r="AA38" i="18" s="1"/>
  <c r="D39" i="18"/>
  <c r="G39" i="18" s="1"/>
  <c r="E39" i="18"/>
  <c r="F39" i="18"/>
  <c r="H39" i="18"/>
  <c r="J39" i="18"/>
  <c r="K39" i="18"/>
  <c r="L39" i="18"/>
  <c r="M39" i="18"/>
  <c r="N39" i="18"/>
  <c r="P39" i="18"/>
  <c r="S39" i="18" s="1"/>
  <c r="Q39" i="18"/>
  <c r="R39" i="18"/>
  <c r="T39" i="18"/>
  <c r="V39" i="18"/>
  <c r="W39" i="18"/>
  <c r="X39" i="18"/>
  <c r="Y39" i="18"/>
  <c r="Z39" i="18"/>
  <c r="D40" i="18"/>
  <c r="F40" i="18"/>
  <c r="H40" i="18"/>
  <c r="J40" i="18"/>
  <c r="K40" i="18"/>
  <c r="L40" i="18"/>
  <c r="N40" i="18"/>
  <c r="P40" i="18"/>
  <c r="R40" i="18"/>
  <c r="T40" i="18"/>
  <c r="V40" i="18"/>
  <c r="W40" i="18"/>
  <c r="X40" i="18"/>
  <c r="Z40" i="18"/>
  <c r="G50" i="18"/>
  <c r="M50" i="18"/>
  <c r="S50" i="18"/>
  <c r="Y50" i="18"/>
  <c r="G51" i="18"/>
  <c r="M51" i="18"/>
  <c r="S51" i="18"/>
  <c r="Y51" i="18"/>
  <c r="G52" i="18"/>
  <c r="M52" i="18"/>
  <c r="S52" i="18"/>
  <c r="Y52" i="18"/>
  <c r="G53" i="18"/>
  <c r="M53" i="18"/>
  <c r="S53" i="18"/>
  <c r="Y53" i="18"/>
  <c r="G54" i="18"/>
  <c r="M54" i="18"/>
  <c r="S54" i="18"/>
  <c r="Y54" i="18"/>
  <c r="U39" i="18" l="1"/>
  <c r="S40" i="18"/>
  <c r="AB18" i="18"/>
  <c r="I24" i="18"/>
  <c r="I40" i="18" s="1"/>
  <c r="I41" i="18" s="1"/>
  <c r="AB38" i="18"/>
  <c r="AB30" i="18"/>
  <c r="AB24" i="18"/>
  <c r="AA40" i="18"/>
  <c r="O39" i="18"/>
  <c r="AB39" i="18" s="1"/>
  <c r="G40" i="18"/>
  <c r="U24" i="18"/>
  <c r="AA41" i="18" l="1"/>
  <c r="O40" i="18"/>
  <c r="O41" i="18" s="1"/>
  <c r="U40" i="18"/>
  <c r="U41" i="18" s="1"/>
  <c r="AB41" i="18" l="1"/>
  <c r="AB40" i="18"/>
  <c r="G15" i="17" l="1"/>
  <c r="I15" i="17"/>
  <c r="M15" i="17"/>
  <c r="O15" i="17"/>
  <c r="O24" i="17" s="1"/>
  <c r="S15" i="17"/>
  <c r="U15" i="17"/>
  <c r="Y15" i="17"/>
  <c r="AA15" i="17"/>
  <c r="AB15" i="17" s="1"/>
  <c r="G16" i="17"/>
  <c r="I16" i="17"/>
  <c r="M16" i="17"/>
  <c r="O16" i="17" s="1"/>
  <c r="S16" i="17"/>
  <c r="U16" i="17"/>
  <c r="Y16" i="17"/>
  <c r="AA16" i="17" s="1"/>
  <c r="G17" i="17"/>
  <c r="I17" i="17"/>
  <c r="M17" i="17"/>
  <c r="O17" i="17"/>
  <c r="S17" i="17"/>
  <c r="U17" i="17"/>
  <c r="U24" i="17" s="1"/>
  <c r="Y17" i="17"/>
  <c r="AA17" i="17"/>
  <c r="AB17" i="17"/>
  <c r="G18" i="17"/>
  <c r="I18" i="17" s="1"/>
  <c r="M18" i="17"/>
  <c r="O18" i="17"/>
  <c r="S18" i="17"/>
  <c r="U18" i="17" s="1"/>
  <c r="Y18" i="17"/>
  <c r="AA18" i="17"/>
  <c r="AB18" i="17"/>
  <c r="G19" i="17"/>
  <c r="I19" i="17"/>
  <c r="M19" i="17"/>
  <c r="O19" i="17"/>
  <c r="S19" i="17"/>
  <c r="U19" i="17"/>
  <c r="Y19" i="17"/>
  <c r="AA19" i="17"/>
  <c r="AB19" i="17" s="1"/>
  <c r="G20" i="17"/>
  <c r="I20" i="17"/>
  <c r="M20" i="17"/>
  <c r="O20" i="17" s="1"/>
  <c r="S20" i="17"/>
  <c r="U20" i="17"/>
  <c r="Y20" i="17"/>
  <c r="AA20" i="17" s="1"/>
  <c r="AB20" i="17" s="1"/>
  <c r="G21" i="17"/>
  <c r="I21" i="17"/>
  <c r="M21" i="17"/>
  <c r="O21" i="17"/>
  <c r="S21" i="17"/>
  <c r="U21" i="17"/>
  <c r="Y21" i="17"/>
  <c r="AA21" i="17"/>
  <c r="AB21" i="17"/>
  <c r="G22" i="17"/>
  <c r="I22" i="17" s="1"/>
  <c r="M22" i="17"/>
  <c r="O22" i="17"/>
  <c r="S22" i="17"/>
  <c r="U22" i="17" s="1"/>
  <c r="Y22" i="17"/>
  <c r="AA22" i="17"/>
  <c r="AB22" i="17"/>
  <c r="G23" i="17"/>
  <c r="I23" i="17"/>
  <c r="M23" i="17"/>
  <c r="O23" i="17"/>
  <c r="S23" i="17"/>
  <c r="U23" i="17"/>
  <c r="Y23" i="17"/>
  <c r="AA23" i="17"/>
  <c r="AB23" i="17" s="1"/>
  <c r="D24" i="17"/>
  <c r="G24" i="17" s="1"/>
  <c r="E24" i="17"/>
  <c r="F24" i="17"/>
  <c r="F40" i="17" s="1"/>
  <c r="H24" i="17"/>
  <c r="J24" i="17"/>
  <c r="J40" i="17" s="1"/>
  <c r="K24" i="17"/>
  <c r="L24" i="17"/>
  <c r="N24" i="17"/>
  <c r="N40" i="17" s="1"/>
  <c r="P24" i="17"/>
  <c r="S24" i="17" s="1"/>
  <c r="Q24" i="17"/>
  <c r="R24" i="17"/>
  <c r="R40" i="17" s="1"/>
  <c r="T24" i="17"/>
  <c r="V24" i="17"/>
  <c r="V40" i="17" s="1"/>
  <c r="W24" i="17"/>
  <c r="X24" i="17"/>
  <c r="Z24" i="17"/>
  <c r="Z40" i="17" s="1"/>
  <c r="G28" i="17"/>
  <c r="I28" i="17"/>
  <c r="M28" i="17"/>
  <c r="O28" i="17"/>
  <c r="S28" i="17"/>
  <c r="U28" i="17"/>
  <c r="Y28" i="17"/>
  <c r="AA28" i="17"/>
  <c r="AB28" i="17"/>
  <c r="G29" i="17"/>
  <c r="I29" i="17" s="1"/>
  <c r="M29" i="17"/>
  <c r="O29" i="17"/>
  <c r="S29" i="17"/>
  <c r="U29" i="17" s="1"/>
  <c r="Y29" i="17"/>
  <c r="AA29" i="17"/>
  <c r="AB29" i="17"/>
  <c r="G30" i="17"/>
  <c r="I30" i="17"/>
  <c r="M30" i="17"/>
  <c r="O30" i="17"/>
  <c r="S30" i="17"/>
  <c r="U30" i="17"/>
  <c r="Y30" i="17"/>
  <c r="AA30" i="17"/>
  <c r="AB30" i="17" s="1"/>
  <c r="G31" i="17"/>
  <c r="I31" i="17"/>
  <c r="M31" i="17"/>
  <c r="O31" i="17" s="1"/>
  <c r="S31" i="17"/>
  <c r="U31" i="17"/>
  <c r="Y31" i="17"/>
  <c r="AA31" i="17" s="1"/>
  <c r="D32" i="17"/>
  <c r="G32" i="17" s="1"/>
  <c r="I32" i="17" s="1"/>
  <c r="E32" i="17"/>
  <c r="E39" i="17" s="1"/>
  <c r="E40" i="17" s="1"/>
  <c r="M32" i="17"/>
  <c r="O32" i="17"/>
  <c r="S32" i="17"/>
  <c r="U32" i="17"/>
  <c r="V32" i="17"/>
  <c r="Y32" i="17" s="1"/>
  <c r="AA32" i="17" s="1"/>
  <c r="AB32" i="17" s="1"/>
  <c r="W32" i="17"/>
  <c r="W39" i="17" s="1"/>
  <c r="W40" i="17" s="1"/>
  <c r="G33" i="17"/>
  <c r="I33" i="17" s="1"/>
  <c r="M33" i="17"/>
  <c r="O33" i="17"/>
  <c r="S33" i="17"/>
  <c r="U33" i="17" s="1"/>
  <c r="Y33" i="17"/>
  <c r="AA33" i="17"/>
  <c r="AB33" i="17"/>
  <c r="G34" i="17"/>
  <c r="I34" i="17"/>
  <c r="M34" i="17"/>
  <c r="O34" i="17"/>
  <c r="S34" i="17"/>
  <c r="U34" i="17"/>
  <c r="Y34" i="17"/>
  <c r="AA34" i="17"/>
  <c r="AB34" i="17" s="1"/>
  <c r="G35" i="17"/>
  <c r="I35" i="17"/>
  <c r="M35" i="17"/>
  <c r="O35" i="17" s="1"/>
  <c r="O39" i="17" s="1"/>
  <c r="S35" i="17"/>
  <c r="U35" i="17"/>
  <c r="Y35" i="17"/>
  <c r="AA35" i="17" s="1"/>
  <c r="G36" i="17"/>
  <c r="I36" i="17"/>
  <c r="M36" i="17"/>
  <c r="O36" i="17"/>
  <c r="S36" i="17"/>
  <c r="U36" i="17"/>
  <c r="Y36" i="17"/>
  <c r="AA36" i="17"/>
  <c r="AB36" i="17"/>
  <c r="G37" i="17"/>
  <c r="I37" i="17" s="1"/>
  <c r="M37" i="17"/>
  <c r="O37" i="17"/>
  <c r="S37" i="17"/>
  <c r="U37" i="17" s="1"/>
  <c r="Y37" i="17"/>
  <c r="AA37" i="17"/>
  <c r="AB37" i="17"/>
  <c r="G38" i="17"/>
  <c r="I38" i="17"/>
  <c r="M38" i="17"/>
  <c r="O38" i="17"/>
  <c r="S38" i="17"/>
  <c r="U38" i="17"/>
  <c r="Y38" i="17"/>
  <c r="AA38" i="17"/>
  <c r="AB38" i="17" s="1"/>
  <c r="F39" i="17"/>
  <c r="H39" i="17"/>
  <c r="J39" i="17"/>
  <c r="M39" i="17" s="1"/>
  <c r="K39" i="17"/>
  <c r="L39" i="17"/>
  <c r="N39" i="17"/>
  <c r="P39" i="17"/>
  <c r="S39" i="17" s="1"/>
  <c r="Q39" i="17"/>
  <c r="R39" i="17"/>
  <c r="T39" i="17"/>
  <c r="V39" i="17"/>
  <c r="Y39" i="17" s="1"/>
  <c r="X39" i="17"/>
  <c r="Z39" i="17"/>
  <c r="H40" i="17"/>
  <c r="K40" i="17"/>
  <c r="L40" i="17"/>
  <c r="P40" i="17"/>
  <c r="Q40" i="17"/>
  <c r="T40" i="17"/>
  <c r="X40" i="17"/>
  <c r="G50" i="17"/>
  <c r="M50" i="17"/>
  <c r="S50" i="17"/>
  <c r="Y50" i="17"/>
  <c r="D51" i="17"/>
  <c r="E51" i="17"/>
  <c r="G51" i="17"/>
  <c r="L51" i="17"/>
  <c r="M51" i="17" s="1"/>
  <c r="P51" i="17"/>
  <c r="S51" i="17" s="1"/>
  <c r="Q51" i="17"/>
  <c r="R51" i="17"/>
  <c r="Y51" i="17"/>
  <c r="G52" i="17"/>
  <c r="M52" i="17"/>
  <c r="R52" i="17"/>
  <c r="S52" i="17"/>
  <c r="X52" i="17"/>
  <c r="Y52" i="17"/>
  <c r="G53" i="17"/>
  <c r="M53" i="17"/>
  <c r="S53" i="17"/>
  <c r="Y53" i="17"/>
  <c r="G54" i="17"/>
  <c r="M54" i="17"/>
  <c r="S54" i="17"/>
  <c r="Y54" i="17"/>
  <c r="AA39" i="17" l="1"/>
  <c r="AB39" i="17" s="1"/>
  <c r="AB35" i="17"/>
  <c r="AB31" i="17"/>
  <c r="AB16" i="17"/>
  <c r="I24" i="17"/>
  <c r="I40" i="17" s="1"/>
  <c r="I41" i="17" s="1"/>
  <c r="O40" i="17"/>
  <c r="O41" i="17" s="1"/>
  <c r="U39" i="17"/>
  <c r="U40" i="17" s="1"/>
  <c r="U41" i="17" s="1"/>
  <c r="I39" i="17"/>
  <c r="S40" i="17"/>
  <c r="Y24" i="17"/>
  <c r="Y40" i="17" s="1"/>
  <c r="M24" i="17"/>
  <c r="M40" i="17" s="1"/>
  <c r="D39" i="17"/>
  <c r="AA24" i="17"/>
  <c r="AB24" i="17" l="1"/>
  <c r="AA40" i="17"/>
  <c r="G39" i="17"/>
  <c r="G40" i="17" s="1"/>
  <c r="D40" i="17"/>
  <c r="AB40" i="17" l="1"/>
  <c r="AA41" i="17"/>
  <c r="AB41" i="17" s="1"/>
  <c r="G15" i="16" l="1"/>
  <c r="I15" i="16"/>
  <c r="M15" i="16"/>
  <c r="O15" i="16"/>
  <c r="O24" i="16" s="1"/>
  <c r="S15" i="16"/>
  <c r="U15" i="16"/>
  <c r="Y15" i="16"/>
  <c r="AA15" i="16"/>
  <c r="AB15" i="16" s="1"/>
  <c r="G16" i="16"/>
  <c r="I16" i="16"/>
  <c r="M16" i="16"/>
  <c r="O16" i="16" s="1"/>
  <c r="S16" i="16"/>
  <c r="U16" i="16"/>
  <c r="Y16" i="16"/>
  <c r="AA16" i="16" s="1"/>
  <c r="G17" i="16"/>
  <c r="I17" i="16"/>
  <c r="M17" i="16"/>
  <c r="O17" i="16"/>
  <c r="S17" i="16"/>
  <c r="U17" i="16"/>
  <c r="U24" i="16" s="1"/>
  <c r="U40" i="16" s="1"/>
  <c r="U41" i="16" s="1"/>
  <c r="Y17" i="16"/>
  <c r="AA17" i="16"/>
  <c r="AB17" i="16"/>
  <c r="G18" i="16"/>
  <c r="I18" i="16" s="1"/>
  <c r="M18" i="16"/>
  <c r="O18" i="16"/>
  <c r="S18" i="16"/>
  <c r="U18" i="16" s="1"/>
  <c r="Y18" i="16"/>
  <c r="AA18" i="16"/>
  <c r="AB18" i="16"/>
  <c r="G19" i="16"/>
  <c r="I19" i="16"/>
  <c r="M19" i="16"/>
  <c r="O19" i="16"/>
  <c r="S19" i="16"/>
  <c r="U19" i="16"/>
  <c r="Y19" i="16"/>
  <c r="AA19" i="16"/>
  <c r="AB19" i="16" s="1"/>
  <c r="G20" i="16"/>
  <c r="I20" i="16"/>
  <c r="M20" i="16"/>
  <c r="O20" i="16" s="1"/>
  <c r="S20" i="16"/>
  <c r="U20" i="16"/>
  <c r="Y20" i="16"/>
  <c r="AA20" i="16" s="1"/>
  <c r="AB20" i="16" s="1"/>
  <c r="G21" i="16"/>
  <c r="I21" i="16"/>
  <c r="M21" i="16"/>
  <c r="O21" i="16"/>
  <c r="S21" i="16"/>
  <c r="U21" i="16"/>
  <c r="Y21" i="16"/>
  <c r="AA21" i="16"/>
  <c r="AB21" i="16"/>
  <c r="G22" i="16"/>
  <c r="I22" i="16" s="1"/>
  <c r="M22" i="16"/>
  <c r="O22" i="16"/>
  <c r="S22" i="16"/>
  <c r="U22" i="16" s="1"/>
  <c r="Y22" i="16"/>
  <c r="AA22" i="16"/>
  <c r="AB22" i="16"/>
  <c r="G23" i="16"/>
  <c r="I23" i="16"/>
  <c r="M23" i="16"/>
  <c r="O23" i="16"/>
  <c r="S23" i="16"/>
  <c r="U23" i="16"/>
  <c r="Y23" i="16"/>
  <c r="AA23" i="16"/>
  <c r="AB23" i="16" s="1"/>
  <c r="D24" i="16"/>
  <c r="G24" i="16" s="1"/>
  <c r="E24" i="16"/>
  <c r="F24" i="16"/>
  <c r="F40" i="16" s="1"/>
  <c r="H24" i="16"/>
  <c r="J24" i="16"/>
  <c r="J40" i="16" s="1"/>
  <c r="K24" i="16"/>
  <c r="L24" i="16"/>
  <c r="N24" i="16"/>
  <c r="N40" i="16" s="1"/>
  <c r="P24" i="16"/>
  <c r="S24" i="16" s="1"/>
  <c r="Q24" i="16"/>
  <c r="R24" i="16"/>
  <c r="R40" i="16" s="1"/>
  <c r="T24" i="16"/>
  <c r="V24" i="16"/>
  <c r="V40" i="16" s="1"/>
  <c r="W24" i="16"/>
  <c r="X24" i="16"/>
  <c r="Z24" i="16"/>
  <c r="Z40" i="16" s="1"/>
  <c r="G28" i="16"/>
  <c r="I28" i="16"/>
  <c r="M28" i="16"/>
  <c r="O28" i="16"/>
  <c r="S28" i="16"/>
  <c r="U28" i="16"/>
  <c r="Y28" i="16"/>
  <c r="AA28" i="16"/>
  <c r="AB28" i="16"/>
  <c r="G29" i="16"/>
  <c r="I29" i="16" s="1"/>
  <c r="M29" i="16"/>
  <c r="O29" i="16"/>
  <c r="S29" i="16"/>
  <c r="U29" i="16" s="1"/>
  <c r="Y29" i="16"/>
  <c r="AA29" i="16"/>
  <c r="AB29" i="16"/>
  <c r="G30" i="16"/>
  <c r="I30" i="16"/>
  <c r="M30" i="16"/>
  <c r="O30" i="16"/>
  <c r="S30" i="16"/>
  <c r="U30" i="16"/>
  <c r="Y30" i="16"/>
  <c r="AA30" i="16"/>
  <c r="AB30" i="16" s="1"/>
  <c r="G31" i="16"/>
  <c r="I31" i="16"/>
  <c r="M31" i="16"/>
  <c r="O31" i="16" s="1"/>
  <c r="S31" i="16"/>
  <c r="U31" i="16"/>
  <c r="Y31" i="16"/>
  <c r="AA31" i="16" s="1"/>
  <c r="G32" i="16"/>
  <c r="I32" i="16"/>
  <c r="M32" i="16"/>
  <c r="O32" i="16"/>
  <c r="S32" i="16"/>
  <c r="U32" i="16"/>
  <c r="Y32" i="16"/>
  <c r="AA32" i="16"/>
  <c r="AB32" i="16"/>
  <c r="G33" i="16"/>
  <c r="I33" i="16" s="1"/>
  <c r="M33" i="16"/>
  <c r="O33" i="16"/>
  <c r="S33" i="16"/>
  <c r="U33" i="16" s="1"/>
  <c r="Y33" i="16"/>
  <c r="AA33" i="16"/>
  <c r="AB33" i="16"/>
  <c r="G34" i="16"/>
  <c r="I34" i="16"/>
  <c r="M34" i="16"/>
  <c r="O34" i="16"/>
  <c r="S34" i="16"/>
  <c r="U34" i="16"/>
  <c r="Y34" i="16"/>
  <c r="AA34" i="16"/>
  <c r="AB34" i="16" s="1"/>
  <c r="G35" i="16"/>
  <c r="I35" i="16"/>
  <c r="M35" i="16"/>
  <c r="O35" i="16" s="1"/>
  <c r="S35" i="16"/>
  <c r="U35" i="16"/>
  <c r="Y35" i="16"/>
  <c r="AA35" i="16" s="1"/>
  <c r="G36" i="16"/>
  <c r="I36" i="16"/>
  <c r="M36" i="16"/>
  <c r="O36" i="16"/>
  <c r="S36" i="16"/>
  <c r="U36" i="16"/>
  <c r="U39" i="16" s="1"/>
  <c r="Y36" i="16"/>
  <c r="AA36" i="16"/>
  <c r="AB36" i="16"/>
  <c r="G37" i="16"/>
  <c r="I37" i="16" s="1"/>
  <c r="M37" i="16"/>
  <c r="O37" i="16"/>
  <c r="S37" i="16"/>
  <c r="U37" i="16" s="1"/>
  <c r="Y37" i="16"/>
  <c r="AA37" i="16"/>
  <c r="AB37" i="16"/>
  <c r="G38" i="16"/>
  <c r="I38" i="16" s="1"/>
  <c r="M38" i="16"/>
  <c r="O38" i="16"/>
  <c r="S38" i="16"/>
  <c r="U38" i="16"/>
  <c r="Y38" i="16"/>
  <c r="AA38" i="16"/>
  <c r="AB38" i="16" s="1"/>
  <c r="D39" i="16"/>
  <c r="G39" i="16" s="1"/>
  <c r="E39" i="16"/>
  <c r="F39" i="16"/>
  <c r="H39" i="16"/>
  <c r="J39" i="16"/>
  <c r="M39" i="16" s="1"/>
  <c r="K39" i="16"/>
  <c r="L39" i="16"/>
  <c r="N39" i="16"/>
  <c r="P39" i="16"/>
  <c r="S39" i="16" s="1"/>
  <c r="Q39" i="16"/>
  <c r="R39" i="16"/>
  <c r="T39" i="16"/>
  <c r="V39" i="16"/>
  <c r="Y39" i="16" s="1"/>
  <c r="W39" i="16"/>
  <c r="X39" i="16"/>
  <c r="Z39" i="16"/>
  <c r="D40" i="16"/>
  <c r="E40" i="16"/>
  <c r="H40" i="16"/>
  <c r="K40" i="16"/>
  <c r="L40" i="16"/>
  <c r="P40" i="16"/>
  <c r="Q40" i="16"/>
  <c r="T40" i="16"/>
  <c r="W40" i="16"/>
  <c r="X40" i="16"/>
  <c r="G50" i="16"/>
  <c r="M50" i="16"/>
  <c r="S50" i="16"/>
  <c r="Y50" i="16"/>
  <c r="G51" i="16"/>
  <c r="M51" i="16"/>
  <c r="S51" i="16"/>
  <c r="Y51" i="16"/>
  <c r="G52" i="16"/>
  <c r="M52" i="16"/>
  <c r="S52" i="16"/>
  <c r="Y52" i="16"/>
  <c r="G53" i="16"/>
  <c r="M53" i="16"/>
  <c r="S53" i="16"/>
  <c r="Y53" i="16"/>
  <c r="G54" i="16"/>
  <c r="M54" i="16"/>
  <c r="S54" i="16"/>
  <c r="Y54" i="16"/>
  <c r="AA39" i="16" l="1"/>
  <c r="AB35" i="16"/>
  <c r="I24" i="16"/>
  <c r="I40" i="16" s="1"/>
  <c r="I41" i="16" s="1"/>
  <c r="I39" i="16"/>
  <c r="AB31" i="16"/>
  <c r="AB16" i="16"/>
  <c r="O39" i="16"/>
  <c r="O40" i="16" s="1"/>
  <c r="O41" i="16" s="1"/>
  <c r="S40" i="16"/>
  <c r="G40" i="16"/>
  <c r="Y24" i="16"/>
  <c r="Y40" i="16" s="1"/>
  <c r="M24" i="16"/>
  <c r="M40" i="16" s="1"/>
  <c r="AA24" i="16"/>
  <c r="AA40" i="16" l="1"/>
  <c r="AB24" i="16"/>
  <c r="AB39" i="16"/>
  <c r="AA41" i="16" l="1"/>
  <c r="AB41" i="16" s="1"/>
  <c r="AB40" i="16"/>
  <c r="G15" i="15" l="1"/>
  <c r="I15" i="15"/>
  <c r="M15" i="15"/>
  <c r="O15" i="15"/>
  <c r="O24" i="15" s="1"/>
  <c r="O40" i="15" s="1"/>
  <c r="O41" i="15" s="1"/>
  <c r="S15" i="15"/>
  <c r="U15" i="15"/>
  <c r="Y15" i="15"/>
  <c r="AA15" i="15"/>
  <c r="AB15" i="15" s="1"/>
  <c r="G16" i="15"/>
  <c r="I16" i="15"/>
  <c r="M16" i="15"/>
  <c r="O16" i="15" s="1"/>
  <c r="S16" i="15"/>
  <c r="U16" i="15"/>
  <c r="Y16" i="15"/>
  <c r="AA16" i="15" s="1"/>
  <c r="AB16" i="15" s="1"/>
  <c r="G17" i="15"/>
  <c r="I17" i="15"/>
  <c r="M17" i="15"/>
  <c r="O17" i="15"/>
  <c r="S17" i="15"/>
  <c r="U17" i="15"/>
  <c r="Y17" i="15"/>
  <c r="AA17" i="15"/>
  <c r="AB17" i="15"/>
  <c r="G18" i="15"/>
  <c r="I18" i="15" s="1"/>
  <c r="M18" i="15"/>
  <c r="O18" i="15"/>
  <c r="S18" i="15"/>
  <c r="U18" i="15" s="1"/>
  <c r="Y18" i="15"/>
  <c r="AA18" i="15"/>
  <c r="AB18" i="15"/>
  <c r="G19" i="15"/>
  <c r="I19" i="15"/>
  <c r="M19" i="15"/>
  <c r="O19" i="15"/>
  <c r="S19" i="15"/>
  <c r="U19" i="15"/>
  <c r="Y19" i="15"/>
  <c r="AA19" i="15"/>
  <c r="AB19" i="15" s="1"/>
  <c r="M20" i="15"/>
  <c r="O20" i="15"/>
  <c r="S20" i="15"/>
  <c r="U20" i="15" s="1"/>
  <c r="Y20" i="15"/>
  <c r="AA20" i="15"/>
  <c r="AB20" i="15"/>
  <c r="G21" i="15"/>
  <c r="I21" i="15"/>
  <c r="M21" i="15"/>
  <c r="O21" i="15"/>
  <c r="S21" i="15"/>
  <c r="U21" i="15"/>
  <c r="Y21" i="15"/>
  <c r="AA21" i="15"/>
  <c r="AB21" i="15" s="1"/>
  <c r="G22" i="15"/>
  <c r="I22" i="15"/>
  <c r="M22" i="15"/>
  <c r="O22" i="15" s="1"/>
  <c r="S22" i="15"/>
  <c r="U22" i="15"/>
  <c r="Y22" i="15"/>
  <c r="AA22" i="15" s="1"/>
  <c r="AB22" i="15" s="1"/>
  <c r="G23" i="15"/>
  <c r="I23" i="15"/>
  <c r="M23" i="15"/>
  <c r="O23" i="15"/>
  <c r="S23" i="15"/>
  <c r="U23" i="15"/>
  <c r="Y23" i="15"/>
  <c r="AA23" i="15"/>
  <c r="AB23" i="15"/>
  <c r="D24" i="15"/>
  <c r="D40" i="15" s="1"/>
  <c r="E24" i="15"/>
  <c r="F24" i="15"/>
  <c r="H24" i="15"/>
  <c r="H40" i="15" s="1"/>
  <c r="J24" i="15"/>
  <c r="M24" i="15" s="1"/>
  <c r="M40" i="15" s="1"/>
  <c r="K24" i="15"/>
  <c r="L24" i="15"/>
  <c r="L40" i="15" s="1"/>
  <c r="N24" i="15"/>
  <c r="P24" i="15"/>
  <c r="P40" i="15" s="1"/>
  <c r="Q24" i="15"/>
  <c r="R24" i="15"/>
  <c r="T24" i="15"/>
  <c r="T40" i="15" s="1"/>
  <c r="V24" i="15"/>
  <c r="Y24" i="15" s="1"/>
  <c r="Y40" i="15" s="1"/>
  <c r="W24" i="15"/>
  <c r="X24" i="15"/>
  <c r="X40" i="15" s="1"/>
  <c r="Z24" i="15"/>
  <c r="G28" i="15"/>
  <c r="I28" i="15"/>
  <c r="M28" i="15"/>
  <c r="O28" i="15"/>
  <c r="S28" i="15"/>
  <c r="U28" i="15"/>
  <c r="Y28" i="15"/>
  <c r="AA28" i="15"/>
  <c r="AB28" i="15" s="1"/>
  <c r="G29" i="15"/>
  <c r="I29" i="15"/>
  <c r="M29" i="15"/>
  <c r="O29" i="15" s="1"/>
  <c r="S29" i="15"/>
  <c r="U29" i="15"/>
  <c r="Y29" i="15"/>
  <c r="AA29" i="15" s="1"/>
  <c r="G30" i="15"/>
  <c r="I30" i="15"/>
  <c r="M30" i="15"/>
  <c r="O30" i="15"/>
  <c r="S30" i="15"/>
  <c r="U30" i="15"/>
  <c r="Y30" i="15"/>
  <c r="AA30" i="15"/>
  <c r="AB30" i="15"/>
  <c r="G31" i="15"/>
  <c r="I31" i="15" s="1"/>
  <c r="M31" i="15"/>
  <c r="O31" i="15"/>
  <c r="S31" i="15"/>
  <c r="U31" i="15" s="1"/>
  <c r="Y31" i="15"/>
  <c r="AA31" i="15"/>
  <c r="AB31" i="15"/>
  <c r="G32" i="15"/>
  <c r="I32" i="15"/>
  <c r="M32" i="15"/>
  <c r="O32" i="15"/>
  <c r="S32" i="15"/>
  <c r="U32" i="15"/>
  <c r="Y32" i="15"/>
  <c r="AA32" i="15"/>
  <c r="AB32" i="15" s="1"/>
  <c r="G33" i="15"/>
  <c r="I33" i="15"/>
  <c r="M33" i="15"/>
  <c r="O33" i="15" s="1"/>
  <c r="S33" i="15"/>
  <c r="U33" i="15"/>
  <c r="Y33" i="15"/>
  <c r="AA33" i="15" s="1"/>
  <c r="G34" i="15"/>
  <c r="I34" i="15"/>
  <c r="M34" i="15"/>
  <c r="O34" i="15"/>
  <c r="S34" i="15"/>
  <c r="U34" i="15"/>
  <c r="Y34" i="15"/>
  <c r="AA34" i="15"/>
  <c r="AB34" i="15"/>
  <c r="G35" i="15"/>
  <c r="I35" i="15" s="1"/>
  <c r="M35" i="15"/>
  <c r="O35" i="15"/>
  <c r="S35" i="15"/>
  <c r="U35" i="15" s="1"/>
  <c r="U39" i="15" s="1"/>
  <c r="Y35" i="15"/>
  <c r="AA35" i="15"/>
  <c r="AB35" i="15"/>
  <c r="G36" i="15"/>
  <c r="I36" i="15"/>
  <c r="M36" i="15"/>
  <c r="O36" i="15"/>
  <c r="O39" i="15" s="1"/>
  <c r="S36" i="15"/>
  <c r="U36" i="15"/>
  <c r="Y36" i="15"/>
  <c r="AA36" i="15"/>
  <c r="AB36" i="15" s="1"/>
  <c r="G37" i="15"/>
  <c r="I37" i="15"/>
  <c r="M37" i="15"/>
  <c r="O37" i="15" s="1"/>
  <c r="S37" i="15"/>
  <c r="U37" i="15"/>
  <c r="Y37" i="15"/>
  <c r="AA37" i="15" s="1"/>
  <c r="AB37" i="15" s="1"/>
  <c r="G38" i="15"/>
  <c r="I38" i="15"/>
  <c r="M38" i="15"/>
  <c r="O38" i="15"/>
  <c r="S38" i="15"/>
  <c r="U38" i="15"/>
  <c r="Y38" i="15"/>
  <c r="AA38" i="15"/>
  <c r="AB38" i="15"/>
  <c r="D39" i="15"/>
  <c r="G39" i="15" s="1"/>
  <c r="E39" i="15"/>
  <c r="F39" i="15"/>
  <c r="H39" i="15"/>
  <c r="J39" i="15"/>
  <c r="M39" i="15" s="1"/>
  <c r="K39" i="15"/>
  <c r="L39" i="15"/>
  <c r="N39" i="15"/>
  <c r="P39" i="15"/>
  <c r="S39" i="15" s="1"/>
  <c r="Q39" i="15"/>
  <c r="R39" i="15"/>
  <c r="T39" i="15"/>
  <c r="V39" i="15"/>
  <c r="Y39" i="15" s="1"/>
  <c r="W39" i="15"/>
  <c r="X39" i="15"/>
  <c r="Z39" i="15"/>
  <c r="E40" i="15"/>
  <c r="F40" i="15"/>
  <c r="J40" i="15"/>
  <c r="K40" i="15"/>
  <c r="N40" i="15"/>
  <c r="Q40" i="15"/>
  <c r="R40" i="15"/>
  <c r="V40" i="15"/>
  <c r="W40" i="15"/>
  <c r="Z40" i="15"/>
  <c r="D50" i="15"/>
  <c r="G50" i="15" s="1"/>
  <c r="E50" i="15"/>
  <c r="F50" i="15"/>
  <c r="J50" i="15"/>
  <c r="K50" i="15"/>
  <c r="L50" i="15"/>
  <c r="P50" i="15"/>
  <c r="Q50" i="15"/>
  <c r="R50" i="15"/>
  <c r="W50" i="15"/>
  <c r="X50" i="15"/>
  <c r="G51" i="15"/>
  <c r="M51" i="15"/>
  <c r="M50" i="15" s="1"/>
  <c r="S51" i="15"/>
  <c r="V51" i="15"/>
  <c r="Y51" i="15"/>
  <c r="G52" i="15"/>
  <c r="M52" i="15"/>
  <c r="S52" i="15"/>
  <c r="S50" i="15" s="1"/>
  <c r="V52" i="15"/>
  <c r="Y52" i="15"/>
  <c r="G53" i="15"/>
  <c r="M53" i="15"/>
  <c r="S53" i="15"/>
  <c r="V53" i="15"/>
  <c r="Y53" i="15" s="1"/>
  <c r="G54" i="15"/>
  <c r="M54" i="15"/>
  <c r="S54" i="15"/>
  <c r="V54" i="15" s="1"/>
  <c r="Y54" i="15" s="1"/>
  <c r="V50" i="15" l="1"/>
  <c r="AB33" i="15"/>
  <c r="Y50" i="15"/>
  <c r="U24" i="15"/>
  <c r="U40" i="15" s="1"/>
  <c r="U41" i="15" s="1"/>
  <c r="I24" i="15"/>
  <c r="I39" i="15"/>
  <c r="AB29" i="15"/>
  <c r="AA39" i="15"/>
  <c r="AB39" i="15" s="1"/>
  <c r="AA24" i="15"/>
  <c r="S24" i="15"/>
  <c r="S40" i="15" s="1"/>
  <c r="G24" i="15"/>
  <c r="G40" i="15" s="1"/>
  <c r="AB24" i="15" l="1"/>
  <c r="AA40" i="15"/>
  <c r="I40" i="15"/>
  <c r="I41" i="15" s="1"/>
  <c r="AB40" i="15" l="1"/>
  <c r="AA41" i="15"/>
  <c r="AB41" i="15" s="1"/>
  <c r="G15" i="14" l="1"/>
  <c r="I15" i="14" s="1"/>
  <c r="M15" i="14"/>
  <c r="O15" i="14"/>
  <c r="S15" i="14"/>
  <c r="U15" i="14" s="1"/>
  <c r="U24" i="14" s="1"/>
  <c r="Y15" i="14"/>
  <c r="AA15" i="14"/>
  <c r="AB15" i="14" s="1"/>
  <c r="G16" i="14"/>
  <c r="I16" i="14"/>
  <c r="M16" i="14"/>
  <c r="O16" i="14" s="1"/>
  <c r="S16" i="14"/>
  <c r="U16" i="14"/>
  <c r="Y16" i="14"/>
  <c r="AA16" i="14" s="1"/>
  <c r="AB16" i="14" s="1"/>
  <c r="G17" i="14"/>
  <c r="I17" i="14"/>
  <c r="M17" i="14"/>
  <c r="O17" i="14" s="1"/>
  <c r="S17" i="14"/>
  <c r="U17" i="14"/>
  <c r="Y17" i="14"/>
  <c r="AA17" i="14" s="1"/>
  <c r="G18" i="14"/>
  <c r="I18" i="14" s="1"/>
  <c r="M18" i="14"/>
  <c r="O18" i="14"/>
  <c r="S18" i="14"/>
  <c r="U18" i="14" s="1"/>
  <c r="Y18" i="14"/>
  <c r="AA18" i="14"/>
  <c r="AB18" i="14"/>
  <c r="G19" i="14"/>
  <c r="I19" i="14" s="1"/>
  <c r="M19" i="14"/>
  <c r="O19" i="14"/>
  <c r="S19" i="14"/>
  <c r="U19" i="14" s="1"/>
  <c r="Y19" i="14"/>
  <c r="AA19" i="14"/>
  <c r="AB19" i="14" s="1"/>
  <c r="M20" i="14"/>
  <c r="O20" i="14"/>
  <c r="S20" i="14"/>
  <c r="U20" i="14" s="1"/>
  <c r="Y20" i="14"/>
  <c r="AA20" i="14"/>
  <c r="AB20" i="14"/>
  <c r="G21" i="14"/>
  <c r="I21" i="14" s="1"/>
  <c r="M21" i="14"/>
  <c r="O21" i="14"/>
  <c r="S21" i="14"/>
  <c r="U21" i="14" s="1"/>
  <c r="Y21" i="14"/>
  <c r="AA21" i="14"/>
  <c r="AB21" i="14" s="1"/>
  <c r="G22" i="14"/>
  <c r="I22" i="14"/>
  <c r="M22" i="14"/>
  <c r="O22" i="14" s="1"/>
  <c r="S22" i="14"/>
  <c r="U22" i="14"/>
  <c r="Y22" i="14"/>
  <c r="AA22" i="14" s="1"/>
  <c r="AB22" i="14" s="1"/>
  <c r="G23" i="14"/>
  <c r="I23" i="14"/>
  <c r="M23" i="14"/>
  <c r="O23" i="14" s="1"/>
  <c r="S23" i="14"/>
  <c r="U23" i="14"/>
  <c r="Y23" i="14"/>
  <c r="AA23" i="14" s="1"/>
  <c r="D24" i="14"/>
  <c r="D40" i="14" s="1"/>
  <c r="E24" i="14"/>
  <c r="F24" i="14"/>
  <c r="H24" i="14"/>
  <c r="H40" i="14" s="1"/>
  <c r="J24" i="14"/>
  <c r="K24" i="14"/>
  <c r="M24" i="14" s="1"/>
  <c r="L24" i="14"/>
  <c r="L40" i="14" s="1"/>
  <c r="N24" i="14"/>
  <c r="P24" i="14"/>
  <c r="P40" i="14" s="1"/>
  <c r="Q24" i="14"/>
  <c r="R24" i="14"/>
  <c r="T24" i="14"/>
  <c r="T40" i="14" s="1"/>
  <c r="V24" i="14"/>
  <c r="W24" i="14"/>
  <c r="Y24" i="14" s="1"/>
  <c r="X24" i="14"/>
  <c r="X40" i="14" s="1"/>
  <c r="Z24" i="14"/>
  <c r="G28" i="14"/>
  <c r="I28" i="14" s="1"/>
  <c r="M28" i="14"/>
  <c r="O28" i="14"/>
  <c r="S28" i="14"/>
  <c r="U28" i="14"/>
  <c r="Y28" i="14"/>
  <c r="AA28" i="14"/>
  <c r="AB28" i="14" s="1"/>
  <c r="G29" i="14"/>
  <c r="I29" i="14" s="1"/>
  <c r="M29" i="14"/>
  <c r="O29" i="14" s="1"/>
  <c r="S29" i="14"/>
  <c r="U29" i="14" s="1"/>
  <c r="Y29" i="14"/>
  <c r="AA29" i="14" s="1"/>
  <c r="G30" i="14"/>
  <c r="I30" i="14"/>
  <c r="M30" i="14"/>
  <c r="O30" i="14"/>
  <c r="S30" i="14"/>
  <c r="U30" i="14"/>
  <c r="Y30" i="14"/>
  <c r="AA30" i="14"/>
  <c r="AB30" i="14" s="1"/>
  <c r="G31" i="14"/>
  <c r="I31" i="14" s="1"/>
  <c r="M31" i="14"/>
  <c r="O31" i="14" s="1"/>
  <c r="S31" i="14"/>
  <c r="U31" i="14" s="1"/>
  <c r="Y31" i="14"/>
  <c r="AA31" i="14" s="1"/>
  <c r="G32" i="14"/>
  <c r="I32" i="14"/>
  <c r="M32" i="14"/>
  <c r="O32" i="14"/>
  <c r="S32" i="14"/>
  <c r="U32" i="14"/>
  <c r="Y32" i="14"/>
  <c r="AA32" i="14"/>
  <c r="AB32" i="14" s="1"/>
  <c r="G33" i="14"/>
  <c r="I33" i="14" s="1"/>
  <c r="M33" i="14"/>
  <c r="O33" i="14" s="1"/>
  <c r="S33" i="14"/>
  <c r="U33" i="14" s="1"/>
  <c r="Y33" i="14"/>
  <c r="AA33" i="14" s="1"/>
  <c r="G34" i="14"/>
  <c r="I34" i="14"/>
  <c r="M34" i="14"/>
  <c r="O34" i="14"/>
  <c r="S34" i="14"/>
  <c r="U34" i="14"/>
  <c r="Y34" i="14"/>
  <c r="AA34" i="14"/>
  <c r="AB34" i="14" s="1"/>
  <c r="G35" i="14"/>
  <c r="I35" i="14" s="1"/>
  <c r="M35" i="14"/>
  <c r="O35" i="14" s="1"/>
  <c r="O39" i="14" s="1"/>
  <c r="S35" i="14"/>
  <c r="U35" i="14" s="1"/>
  <c r="Y35" i="14"/>
  <c r="AA35" i="14" s="1"/>
  <c r="G36" i="14"/>
  <c r="I36" i="14"/>
  <c r="M36" i="14"/>
  <c r="O36" i="14"/>
  <c r="S36" i="14"/>
  <c r="U36" i="14" s="1"/>
  <c r="Y36" i="14"/>
  <c r="AA36" i="14"/>
  <c r="AB36" i="14" s="1"/>
  <c r="G37" i="14"/>
  <c r="I37" i="14" s="1"/>
  <c r="M37" i="14"/>
  <c r="O37" i="14" s="1"/>
  <c r="S37" i="14"/>
  <c r="U37" i="14"/>
  <c r="Y37" i="14"/>
  <c r="AA37" i="14" s="1"/>
  <c r="AB37" i="14" s="1"/>
  <c r="G38" i="14"/>
  <c r="I38" i="14"/>
  <c r="M38" i="14"/>
  <c r="O38" i="14"/>
  <c r="S38" i="14"/>
  <c r="U38" i="14"/>
  <c r="Y38" i="14"/>
  <c r="AA38" i="14"/>
  <c r="AB38" i="14" s="1"/>
  <c r="D39" i="14"/>
  <c r="G39" i="14" s="1"/>
  <c r="E39" i="14"/>
  <c r="F39" i="14"/>
  <c r="H39" i="14"/>
  <c r="J39" i="14"/>
  <c r="M39" i="14" s="1"/>
  <c r="K39" i="14"/>
  <c r="L39" i="14"/>
  <c r="N39" i="14"/>
  <c r="P39" i="14"/>
  <c r="S39" i="14" s="1"/>
  <c r="Q39" i="14"/>
  <c r="R39" i="14"/>
  <c r="T39" i="14"/>
  <c r="V39" i="14"/>
  <c r="Y39" i="14" s="1"/>
  <c r="W39" i="14"/>
  <c r="X39" i="14"/>
  <c r="Z39" i="14"/>
  <c r="E40" i="14"/>
  <c r="F40" i="14"/>
  <c r="J40" i="14"/>
  <c r="K40" i="14"/>
  <c r="N40" i="14"/>
  <c r="Q40" i="14"/>
  <c r="R40" i="14"/>
  <c r="V40" i="14"/>
  <c r="W40" i="14"/>
  <c r="Z40" i="14"/>
  <c r="G50" i="14"/>
  <c r="M50" i="14"/>
  <c r="S50" i="14"/>
  <c r="Y50" i="14"/>
  <c r="G51" i="14"/>
  <c r="M51" i="14"/>
  <c r="S51" i="14"/>
  <c r="Y51" i="14"/>
  <c r="G52" i="14"/>
  <c r="M52" i="14"/>
  <c r="S52" i="14"/>
  <c r="Y52" i="14"/>
  <c r="G53" i="14"/>
  <c r="M53" i="14"/>
  <c r="S53" i="14"/>
  <c r="Y53" i="14"/>
  <c r="G54" i="14"/>
  <c r="M54" i="14"/>
  <c r="S54" i="14"/>
  <c r="Y54" i="14"/>
  <c r="I39" i="14" l="1"/>
  <c r="AB23" i="14"/>
  <c r="O24" i="14"/>
  <c r="O40" i="14" s="1"/>
  <c r="O41" i="14" s="1"/>
  <c r="AB35" i="14"/>
  <c r="AA39" i="14"/>
  <c r="AB39" i="14" s="1"/>
  <c r="AB33" i="14"/>
  <c r="AB31" i="14"/>
  <c r="AB29" i="14"/>
  <c r="AB17" i="14"/>
  <c r="U39" i="14"/>
  <c r="U40" i="14" s="1"/>
  <c r="U41" i="14" s="1"/>
  <c r="Y40" i="14"/>
  <c r="M40" i="14"/>
  <c r="I24" i="14"/>
  <c r="I40" i="14" s="1"/>
  <c r="I41" i="14" s="1"/>
  <c r="AA24" i="14"/>
  <c r="S24" i="14"/>
  <c r="S40" i="14" s="1"/>
  <c r="G24" i="14"/>
  <c r="G40" i="14" s="1"/>
  <c r="AA40" i="14" l="1"/>
  <c r="AB24" i="14"/>
  <c r="AB40" i="14" l="1"/>
  <c r="AA41" i="14"/>
  <c r="AB41" i="14" s="1"/>
  <c r="G15" i="13" l="1"/>
  <c r="I15" i="13"/>
  <c r="M15" i="13"/>
  <c r="O15" i="13"/>
  <c r="S15" i="13"/>
  <c r="U15" i="13"/>
  <c r="Y15" i="13"/>
  <c r="AA15" i="13"/>
  <c r="AB15" i="13" s="1"/>
  <c r="G16" i="13"/>
  <c r="I16" i="13"/>
  <c r="M16" i="13"/>
  <c r="O16" i="13" s="1"/>
  <c r="S16" i="13"/>
  <c r="U16" i="13"/>
  <c r="Y16" i="13"/>
  <c r="AA16" i="13" s="1"/>
  <c r="G17" i="13"/>
  <c r="I17" i="13"/>
  <c r="M17" i="13"/>
  <c r="O17" i="13"/>
  <c r="S17" i="13"/>
  <c r="U17" i="13"/>
  <c r="Y17" i="13"/>
  <c r="AA17" i="13"/>
  <c r="AB17" i="13"/>
  <c r="G18" i="13"/>
  <c r="I18" i="13" s="1"/>
  <c r="M18" i="13"/>
  <c r="O18" i="13"/>
  <c r="S18" i="13"/>
  <c r="U18" i="13" s="1"/>
  <c r="Y18" i="13"/>
  <c r="AA18" i="13"/>
  <c r="AB18" i="13"/>
  <c r="G19" i="13"/>
  <c r="I19" i="13"/>
  <c r="M19" i="13"/>
  <c r="O19" i="13"/>
  <c r="S19" i="13"/>
  <c r="U19" i="13"/>
  <c r="Y19" i="13"/>
  <c r="AA19" i="13"/>
  <c r="AB19" i="13" s="1"/>
  <c r="I20" i="13"/>
  <c r="M20" i="13"/>
  <c r="O20" i="13"/>
  <c r="S20" i="13"/>
  <c r="U20" i="13"/>
  <c r="Y20" i="13"/>
  <c r="AA20" i="13"/>
  <c r="AB20" i="13" s="1"/>
  <c r="G21" i="13"/>
  <c r="I21" i="13"/>
  <c r="M21" i="13"/>
  <c r="O21" i="13" s="1"/>
  <c r="S21" i="13"/>
  <c r="U21" i="13"/>
  <c r="Y21" i="13"/>
  <c r="AA21" i="13" s="1"/>
  <c r="G22" i="13"/>
  <c r="I22" i="13"/>
  <c r="M22" i="13"/>
  <c r="O22" i="13"/>
  <c r="S22" i="13"/>
  <c r="U22" i="13"/>
  <c r="Y22" i="13"/>
  <c r="AA22" i="13"/>
  <c r="AB22" i="13"/>
  <c r="G23" i="13"/>
  <c r="I23" i="13" s="1"/>
  <c r="M23" i="13"/>
  <c r="O23" i="13"/>
  <c r="S23" i="13"/>
  <c r="U23" i="13" s="1"/>
  <c r="Y23" i="13"/>
  <c r="AA23" i="13"/>
  <c r="AB23" i="13"/>
  <c r="D24" i="13"/>
  <c r="E24" i="13"/>
  <c r="F24" i="13"/>
  <c r="G24" i="13"/>
  <c r="G40" i="13" s="1"/>
  <c r="H24" i="13"/>
  <c r="J24" i="13"/>
  <c r="M24" i="13" s="1"/>
  <c r="K24" i="13"/>
  <c r="K40" i="13" s="1"/>
  <c r="L24" i="13"/>
  <c r="N24" i="13"/>
  <c r="P24" i="13"/>
  <c r="Q24" i="13"/>
  <c r="R24" i="13"/>
  <c r="S24" i="13"/>
  <c r="S40" i="13" s="1"/>
  <c r="T24" i="13"/>
  <c r="V24" i="13"/>
  <c r="Y24" i="13" s="1"/>
  <c r="W24" i="13"/>
  <c r="W40" i="13" s="1"/>
  <c r="X24" i="13"/>
  <c r="Z24" i="13"/>
  <c r="G28" i="13"/>
  <c r="I28" i="13"/>
  <c r="M28" i="13"/>
  <c r="O28" i="13" s="1"/>
  <c r="S28" i="13"/>
  <c r="U28" i="13"/>
  <c r="Y28" i="13"/>
  <c r="AA28" i="13" s="1"/>
  <c r="G29" i="13"/>
  <c r="I29" i="13"/>
  <c r="M29" i="13"/>
  <c r="O29" i="13"/>
  <c r="S29" i="13"/>
  <c r="U29" i="13"/>
  <c r="Y29" i="13"/>
  <c r="AA29" i="13"/>
  <c r="AB29" i="13"/>
  <c r="G30" i="13"/>
  <c r="I30" i="13" s="1"/>
  <c r="M30" i="13"/>
  <c r="O30" i="13"/>
  <c r="S30" i="13"/>
  <c r="U30" i="13" s="1"/>
  <c r="Y30" i="13"/>
  <c r="AA30" i="13"/>
  <c r="AB30" i="13"/>
  <c r="G31" i="13"/>
  <c r="I31" i="13"/>
  <c r="M31" i="13"/>
  <c r="O31" i="13"/>
  <c r="S31" i="13"/>
  <c r="U31" i="13"/>
  <c r="Y31" i="13"/>
  <c r="AA31" i="13"/>
  <c r="AB31" i="13" s="1"/>
  <c r="G32" i="13"/>
  <c r="I32" i="13"/>
  <c r="M32" i="13"/>
  <c r="O32" i="13" s="1"/>
  <c r="S32" i="13"/>
  <c r="U32" i="13"/>
  <c r="Y32" i="13"/>
  <c r="AA32" i="13" s="1"/>
  <c r="G33" i="13"/>
  <c r="I33" i="13"/>
  <c r="M33" i="13"/>
  <c r="O33" i="13"/>
  <c r="S33" i="13"/>
  <c r="U33" i="13"/>
  <c r="Y33" i="13"/>
  <c r="AA33" i="13"/>
  <c r="AB33" i="13"/>
  <c r="G34" i="13"/>
  <c r="I34" i="13" s="1"/>
  <c r="M34" i="13"/>
  <c r="O34" i="13"/>
  <c r="S34" i="13"/>
  <c r="U34" i="13" s="1"/>
  <c r="Y34" i="13"/>
  <c r="AA34" i="13"/>
  <c r="AB34" i="13"/>
  <c r="G35" i="13"/>
  <c r="I35" i="13"/>
  <c r="M35" i="13"/>
  <c r="O35" i="13"/>
  <c r="S35" i="13"/>
  <c r="U35" i="13"/>
  <c r="Y35" i="13"/>
  <c r="AA35" i="13"/>
  <c r="AB35" i="13" s="1"/>
  <c r="G36" i="13"/>
  <c r="I36" i="13"/>
  <c r="I39" i="13" s="1"/>
  <c r="M36" i="13"/>
  <c r="O36" i="13" s="1"/>
  <c r="O39" i="13" s="1"/>
  <c r="S36" i="13"/>
  <c r="U36" i="13"/>
  <c r="Y36" i="13"/>
  <c r="AA36" i="13" s="1"/>
  <c r="G37" i="13"/>
  <c r="I37" i="13"/>
  <c r="M37" i="13"/>
  <c r="O37" i="13"/>
  <c r="S37" i="13"/>
  <c r="U37" i="13"/>
  <c r="Y37" i="13"/>
  <c r="AA37" i="13"/>
  <c r="AB37" i="13"/>
  <c r="G38" i="13"/>
  <c r="I38" i="13" s="1"/>
  <c r="M38" i="13"/>
  <c r="O38" i="13"/>
  <c r="S38" i="13"/>
  <c r="U38" i="13" s="1"/>
  <c r="Y38" i="13"/>
  <c r="AA38" i="13"/>
  <c r="AB38" i="13"/>
  <c r="D39" i="13"/>
  <c r="E39" i="13"/>
  <c r="F39" i="13"/>
  <c r="G39" i="13"/>
  <c r="H39" i="13"/>
  <c r="J39" i="13"/>
  <c r="M39" i="13" s="1"/>
  <c r="K39" i="13"/>
  <c r="L39" i="13"/>
  <c r="N39" i="13"/>
  <c r="P39" i="13"/>
  <c r="Q39" i="13"/>
  <c r="R39" i="13"/>
  <c r="S39" i="13"/>
  <c r="T39" i="13"/>
  <c r="V39" i="13"/>
  <c r="Y39" i="13" s="1"/>
  <c r="W39" i="13"/>
  <c r="X39" i="13"/>
  <c r="Z39" i="13"/>
  <c r="D40" i="13"/>
  <c r="E40" i="13"/>
  <c r="F40" i="13"/>
  <c r="H40" i="13"/>
  <c r="J40" i="13"/>
  <c r="L40" i="13"/>
  <c r="N40" i="13"/>
  <c r="P40" i="13"/>
  <c r="Q40" i="13"/>
  <c r="R40" i="13"/>
  <c r="T40" i="13"/>
  <c r="V40" i="13"/>
  <c r="X40" i="13"/>
  <c r="Z40" i="13"/>
  <c r="D50" i="13"/>
  <c r="E50" i="13"/>
  <c r="F50" i="13"/>
  <c r="J50" i="13"/>
  <c r="K50" i="13"/>
  <c r="L50" i="13"/>
  <c r="M50" i="13"/>
  <c r="P50" i="13"/>
  <c r="S50" i="13" s="1"/>
  <c r="Q50" i="13"/>
  <c r="R50" i="13"/>
  <c r="V50" i="13"/>
  <c r="W50" i="13"/>
  <c r="X50" i="13"/>
  <c r="G51" i="13"/>
  <c r="G50" i="13" s="1"/>
  <c r="M51" i="13"/>
  <c r="S51" i="13"/>
  <c r="Y51" i="13"/>
  <c r="Y50" i="13" s="1"/>
  <c r="G52" i="13"/>
  <c r="M52" i="13"/>
  <c r="S52" i="13"/>
  <c r="Y52" i="13"/>
  <c r="G53" i="13"/>
  <c r="M53" i="13"/>
  <c r="S53" i="13"/>
  <c r="Y53" i="13"/>
  <c r="G54" i="13"/>
  <c r="M54" i="13"/>
  <c r="S54" i="13"/>
  <c r="Y54" i="13"/>
  <c r="AA39" i="13" l="1"/>
  <c r="AB39" i="13" s="1"/>
  <c r="AB36" i="13"/>
  <c r="AB28" i="13"/>
  <c r="AB21" i="13"/>
  <c r="O24" i="13"/>
  <c r="O40" i="13" s="1"/>
  <c r="O41" i="13" s="1"/>
  <c r="U39" i="13"/>
  <c r="Y40" i="13"/>
  <c r="AB16" i="13"/>
  <c r="AA24" i="13"/>
  <c r="I24" i="13"/>
  <c r="I40" i="13" s="1"/>
  <c r="I41" i="13" s="1"/>
  <c r="AB32" i="13"/>
  <c r="M40" i="13"/>
  <c r="U24" i="13"/>
  <c r="U40" i="13" s="1"/>
  <c r="U41" i="13" s="1"/>
  <c r="AB24" i="13" l="1"/>
  <c r="AA40" i="13"/>
  <c r="AB40" i="13" l="1"/>
  <c r="AA41" i="13"/>
  <c r="AB41" i="13" s="1"/>
  <c r="G15" i="12" l="1"/>
  <c r="I15" i="12"/>
  <c r="M15" i="12"/>
  <c r="O15" i="12"/>
  <c r="O24" i="12" s="1"/>
  <c r="O40" i="12" s="1"/>
  <c r="O41" i="12" s="1"/>
  <c r="S15" i="12"/>
  <c r="U15" i="12"/>
  <c r="Y15" i="12"/>
  <c r="AA15" i="12"/>
  <c r="AB15" i="12" s="1"/>
  <c r="G16" i="12"/>
  <c r="I16" i="12"/>
  <c r="M16" i="12"/>
  <c r="O16" i="12" s="1"/>
  <c r="S16" i="12"/>
  <c r="U16" i="12"/>
  <c r="Y16" i="12"/>
  <c r="AA16" i="12" s="1"/>
  <c r="G17" i="12"/>
  <c r="I17" i="12"/>
  <c r="M17" i="12"/>
  <c r="O17" i="12"/>
  <c r="S17" i="12"/>
  <c r="U17" i="12"/>
  <c r="U24" i="12" s="1"/>
  <c r="Y17" i="12"/>
  <c r="AA17" i="12"/>
  <c r="AB17" i="12"/>
  <c r="G18" i="12"/>
  <c r="I18" i="12" s="1"/>
  <c r="M18" i="12"/>
  <c r="O18" i="12"/>
  <c r="S18" i="12"/>
  <c r="U18" i="12" s="1"/>
  <c r="Y18" i="12"/>
  <c r="AA18" i="12"/>
  <c r="AB18" i="12"/>
  <c r="G19" i="12"/>
  <c r="I19" i="12"/>
  <c r="M19" i="12"/>
  <c r="O19" i="12"/>
  <c r="S19" i="12"/>
  <c r="U19" i="12"/>
  <c r="Y19" i="12"/>
  <c r="AA19" i="12"/>
  <c r="AB19" i="12" s="1"/>
  <c r="G20" i="12"/>
  <c r="I20" i="12"/>
  <c r="M20" i="12"/>
  <c r="O20" i="12" s="1"/>
  <c r="S20" i="12"/>
  <c r="U20" i="12"/>
  <c r="Y20" i="12"/>
  <c r="AA20" i="12" s="1"/>
  <c r="AB20" i="12" s="1"/>
  <c r="G21" i="12"/>
  <c r="I21" i="12"/>
  <c r="M21" i="12"/>
  <c r="O21" i="12"/>
  <c r="S21" i="12"/>
  <c r="U21" i="12"/>
  <c r="Y21" i="12"/>
  <c r="AA21" i="12"/>
  <c r="AB21" i="12"/>
  <c r="G22" i="12"/>
  <c r="I22" i="12" s="1"/>
  <c r="M22" i="12"/>
  <c r="O22" i="12"/>
  <c r="S22" i="12"/>
  <c r="U22" i="12" s="1"/>
  <c r="Y22" i="12"/>
  <c r="AA22" i="12"/>
  <c r="AB22" i="12"/>
  <c r="G23" i="12"/>
  <c r="I23" i="12"/>
  <c r="M23" i="12"/>
  <c r="O23" i="12"/>
  <c r="S23" i="12"/>
  <c r="U23" i="12"/>
  <c r="Y23" i="12"/>
  <c r="AA23" i="12"/>
  <c r="AB23" i="12" s="1"/>
  <c r="D24" i="12"/>
  <c r="G24" i="12" s="1"/>
  <c r="E24" i="12"/>
  <c r="F24" i="12"/>
  <c r="H24" i="12"/>
  <c r="J24" i="12"/>
  <c r="M24" i="12" s="1"/>
  <c r="K24" i="12"/>
  <c r="L24" i="12"/>
  <c r="N24" i="12"/>
  <c r="P24" i="12"/>
  <c r="Q24" i="12"/>
  <c r="S24" i="12" s="1"/>
  <c r="S40" i="12" s="1"/>
  <c r="R24" i="12"/>
  <c r="T24" i="12"/>
  <c r="V24" i="12"/>
  <c r="Y24" i="12" s="1"/>
  <c r="W24" i="12"/>
  <c r="X24" i="12"/>
  <c r="Z24" i="12"/>
  <c r="G28" i="12"/>
  <c r="I28" i="12"/>
  <c r="M28" i="12"/>
  <c r="O28" i="12"/>
  <c r="S28" i="12"/>
  <c r="U28" i="12"/>
  <c r="Y28" i="12"/>
  <c r="AA28" i="12"/>
  <c r="AB28" i="12"/>
  <c r="G29" i="12"/>
  <c r="I29" i="12" s="1"/>
  <c r="M29" i="12"/>
  <c r="O29" i="12"/>
  <c r="S29" i="12"/>
  <c r="U29" i="12" s="1"/>
  <c r="Y29" i="12"/>
  <c r="AA29" i="12"/>
  <c r="AB29" i="12"/>
  <c r="G30" i="12"/>
  <c r="I30" i="12"/>
  <c r="M30" i="12"/>
  <c r="O30" i="12"/>
  <c r="S30" i="12"/>
  <c r="U30" i="12"/>
  <c r="Y30" i="12"/>
  <c r="AA30" i="12"/>
  <c r="AB30" i="12" s="1"/>
  <c r="G31" i="12"/>
  <c r="I31" i="12"/>
  <c r="M31" i="12"/>
  <c r="O31" i="12" s="1"/>
  <c r="S31" i="12"/>
  <c r="U31" i="12"/>
  <c r="Y31" i="12"/>
  <c r="AA31" i="12" s="1"/>
  <c r="E32" i="12"/>
  <c r="G32" i="12" s="1"/>
  <c r="I32" i="12" s="1"/>
  <c r="F32" i="12"/>
  <c r="F39" i="12" s="1"/>
  <c r="F40" i="12" s="1"/>
  <c r="M32" i="12"/>
  <c r="O32" i="12"/>
  <c r="S32" i="12"/>
  <c r="U32" i="12" s="1"/>
  <c r="W32" i="12"/>
  <c r="Y32" i="12"/>
  <c r="AA32" i="12" s="1"/>
  <c r="AB32" i="12" s="1"/>
  <c r="G33" i="12"/>
  <c r="I33" i="12"/>
  <c r="M33" i="12"/>
  <c r="O33" i="12" s="1"/>
  <c r="S33" i="12"/>
  <c r="U33" i="12"/>
  <c r="Y33" i="12"/>
  <c r="AA33" i="12" s="1"/>
  <c r="G34" i="12"/>
  <c r="I34" i="12" s="1"/>
  <c r="M34" i="12"/>
  <c r="O34" i="12"/>
  <c r="S34" i="12"/>
  <c r="U34" i="12" s="1"/>
  <c r="Y34" i="12"/>
  <c r="AA34" i="12"/>
  <c r="AB34" i="12"/>
  <c r="G35" i="12"/>
  <c r="I35" i="12" s="1"/>
  <c r="I39" i="12" s="1"/>
  <c r="M35" i="12"/>
  <c r="O35" i="12"/>
  <c r="S35" i="12"/>
  <c r="U35" i="12" s="1"/>
  <c r="Y35" i="12"/>
  <c r="AA35" i="12"/>
  <c r="AB35" i="12" s="1"/>
  <c r="G36" i="12"/>
  <c r="I36" i="12"/>
  <c r="M36" i="12"/>
  <c r="O36" i="12" s="1"/>
  <c r="O39" i="12" s="1"/>
  <c r="S36" i="12"/>
  <c r="U36" i="12"/>
  <c r="Y36" i="12"/>
  <c r="AA36" i="12" s="1"/>
  <c r="G37" i="12"/>
  <c r="I37" i="12"/>
  <c r="M37" i="12"/>
  <c r="O37" i="12" s="1"/>
  <c r="S37" i="12"/>
  <c r="U37" i="12"/>
  <c r="Y37" i="12"/>
  <c r="AA37" i="12" s="1"/>
  <c r="AB37" i="12" s="1"/>
  <c r="G38" i="12"/>
  <c r="I38" i="12" s="1"/>
  <c r="M38" i="12"/>
  <c r="O38" i="12"/>
  <c r="S38" i="12"/>
  <c r="U38" i="12" s="1"/>
  <c r="Y38" i="12"/>
  <c r="AA38" i="12"/>
  <c r="AB38" i="12"/>
  <c r="D39" i="12"/>
  <c r="H39" i="12"/>
  <c r="J39" i="12"/>
  <c r="M39" i="12" s="1"/>
  <c r="K39" i="12"/>
  <c r="K40" i="12" s="1"/>
  <c r="L39" i="12"/>
  <c r="N39" i="12"/>
  <c r="P39" i="12"/>
  <c r="Q39" i="12"/>
  <c r="R39" i="12"/>
  <c r="S39" i="12"/>
  <c r="T39" i="12"/>
  <c r="V39" i="12"/>
  <c r="Y39" i="12" s="1"/>
  <c r="W39" i="12"/>
  <c r="W40" i="12" s="1"/>
  <c r="X39" i="12"/>
  <c r="Z39" i="12"/>
  <c r="D40" i="12"/>
  <c r="H40" i="12"/>
  <c r="J40" i="12"/>
  <c r="L40" i="12"/>
  <c r="N40" i="12"/>
  <c r="P40" i="12"/>
  <c r="Q40" i="12"/>
  <c r="R40" i="12"/>
  <c r="T40" i="12"/>
  <c r="V40" i="12"/>
  <c r="X40" i="12"/>
  <c r="Z40" i="12"/>
  <c r="G50" i="12"/>
  <c r="M50" i="12"/>
  <c r="S50" i="12"/>
  <c r="Y50" i="12"/>
  <c r="G51" i="12"/>
  <c r="M51" i="12"/>
  <c r="S51" i="12"/>
  <c r="Y51" i="12"/>
  <c r="G52" i="12"/>
  <c r="M52" i="12"/>
  <c r="S52" i="12"/>
  <c r="Y52" i="12"/>
  <c r="G53" i="12"/>
  <c r="M53" i="12"/>
  <c r="S53" i="12"/>
  <c r="Y53" i="12"/>
  <c r="G54" i="12"/>
  <c r="M54" i="12"/>
  <c r="S54" i="12"/>
  <c r="Y54" i="12"/>
  <c r="I24" i="12" l="1"/>
  <c r="I40" i="12" s="1"/>
  <c r="I41" i="12" s="1"/>
  <c r="AB36" i="12"/>
  <c r="AA39" i="12"/>
  <c r="AB39" i="12" s="1"/>
  <c r="AB33" i="12"/>
  <c r="U39" i="12"/>
  <c r="U40" i="12" s="1"/>
  <c r="U41" i="12" s="1"/>
  <c r="AB31" i="12"/>
  <c r="AB16" i="12"/>
  <c r="Y40" i="12"/>
  <c r="M40" i="12"/>
  <c r="E39" i="12"/>
  <c r="AA24" i="12"/>
  <c r="E40" i="12" l="1"/>
  <c r="G39" i="12"/>
  <c r="G40" i="12" s="1"/>
  <c r="AA40" i="12"/>
  <c r="AB24" i="12"/>
  <c r="AB40" i="12" l="1"/>
  <c r="AA41" i="12"/>
  <c r="AB41" i="12" s="1"/>
  <c r="G15" i="11" l="1"/>
  <c r="I15" i="11"/>
  <c r="M15" i="11"/>
  <c r="O15" i="11"/>
  <c r="O24" i="11" s="1"/>
  <c r="O40" i="11" s="1"/>
  <c r="O41" i="11" s="1"/>
  <c r="S15" i="11"/>
  <c r="U15" i="11"/>
  <c r="Y15" i="11"/>
  <c r="AA15" i="11"/>
  <c r="AB15" i="11" s="1"/>
  <c r="G16" i="11"/>
  <c r="I16" i="11"/>
  <c r="M16" i="11"/>
  <c r="O16" i="11" s="1"/>
  <c r="S16" i="11"/>
  <c r="U16" i="11"/>
  <c r="Y16" i="11"/>
  <c r="AA16" i="11" s="1"/>
  <c r="AB16" i="11" s="1"/>
  <c r="G17" i="11"/>
  <c r="I17" i="11"/>
  <c r="M17" i="11"/>
  <c r="O17" i="11"/>
  <c r="S17" i="11"/>
  <c r="U17" i="11"/>
  <c r="Y17" i="11"/>
  <c r="AA17" i="11"/>
  <c r="AB17" i="11"/>
  <c r="G18" i="11"/>
  <c r="I18" i="11" s="1"/>
  <c r="M18" i="11"/>
  <c r="O18" i="11"/>
  <c r="S18" i="11"/>
  <c r="U18" i="11" s="1"/>
  <c r="Y18" i="11"/>
  <c r="AA18" i="11"/>
  <c r="AB18" i="11"/>
  <c r="G19" i="11"/>
  <c r="I19" i="11"/>
  <c r="M19" i="11"/>
  <c r="O19" i="11"/>
  <c r="S19" i="11"/>
  <c r="U19" i="11"/>
  <c r="Y19" i="11"/>
  <c r="AA19" i="11"/>
  <c r="AB19" i="11" s="1"/>
  <c r="M20" i="11"/>
  <c r="O20" i="11"/>
  <c r="S20" i="11"/>
  <c r="U20" i="11" s="1"/>
  <c r="Y20" i="11"/>
  <c r="AA20" i="11"/>
  <c r="AB20" i="11"/>
  <c r="G21" i="11"/>
  <c r="I21" i="11"/>
  <c r="M21" i="11"/>
  <c r="O21" i="11"/>
  <c r="S21" i="11"/>
  <c r="U21" i="11"/>
  <c r="Y21" i="11"/>
  <c r="AA21" i="11"/>
  <c r="AB21" i="11" s="1"/>
  <c r="G22" i="11"/>
  <c r="I22" i="11"/>
  <c r="M22" i="11"/>
  <c r="O22" i="11" s="1"/>
  <c r="S22" i="11"/>
  <c r="U22" i="11"/>
  <c r="Y22" i="11"/>
  <c r="AA22" i="11" s="1"/>
  <c r="AB22" i="11" s="1"/>
  <c r="G23" i="11"/>
  <c r="I23" i="11"/>
  <c r="M23" i="11"/>
  <c r="O23" i="11"/>
  <c r="S23" i="11"/>
  <c r="U23" i="11"/>
  <c r="Y23" i="11"/>
  <c r="AA23" i="11"/>
  <c r="AB23" i="11"/>
  <c r="D24" i="11"/>
  <c r="D40" i="11" s="1"/>
  <c r="E24" i="11"/>
  <c r="F24" i="11"/>
  <c r="H24" i="11"/>
  <c r="H40" i="11" s="1"/>
  <c r="J24" i="11"/>
  <c r="M24" i="11" s="1"/>
  <c r="M40" i="11" s="1"/>
  <c r="K24" i="11"/>
  <c r="L24" i="11"/>
  <c r="L40" i="11" s="1"/>
  <c r="N24" i="11"/>
  <c r="P24" i="11"/>
  <c r="P40" i="11" s="1"/>
  <c r="Q24" i="11"/>
  <c r="R24" i="11"/>
  <c r="T24" i="11"/>
  <c r="T40" i="11" s="1"/>
  <c r="V24" i="11"/>
  <c r="Y24" i="11" s="1"/>
  <c r="Y40" i="11" s="1"/>
  <c r="W24" i="11"/>
  <c r="X24" i="11"/>
  <c r="X40" i="11" s="1"/>
  <c r="Z24" i="11"/>
  <c r="G28" i="11"/>
  <c r="I28" i="11"/>
  <c r="M28" i="11"/>
  <c r="O28" i="11"/>
  <c r="S28" i="11"/>
  <c r="U28" i="11"/>
  <c r="Y28" i="11"/>
  <c r="AA28" i="11"/>
  <c r="AB28" i="11" s="1"/>
  <c r="G29" i="11"/>
  <c r="I29" i="11"/>
  <c r="M29" i="11"/>
  <c r="O29" i="11" s="1"/>
  <c r="S29" i="11"/>
  <c r="U29" i="11"/>
  <c r="Y29" i="11"/>
  <c r="AA29" i="11" s="1"/>
  <c r="G30" i="11"/>
  <c r="I30" i="11"/>
  <c r="M30" i="11"/>
  <c r="O30" i="11"/>
  <c r="S30" i="11"/>
  <c r="U30" i="11"/>
  <c r="Y30" i="11"/>
  <c r="AA30" i="11"/>
  <c r="AB30" i="11"/>
  <c r="G31" i="11"/>
  <c r="I31" i="11" s="1"/>
  <c r="M31" i="11"/>
  <c r="O31" i="11"/>
  <c r="S31" i="11"/>
  <c r="U31" i="11" s="1"/>
  <c r="Y31" i="11"/>
  <c r="AA31" i="11"/>
  <c r="AB31" i="11"/>
  <c r="G32" i="11"/>
  <c r="I32" i="11"/>
  <c r="M32" i="11"/>
  <c r="O32" i="11"/>
  <c r="S32" i="11"/>
  <c r="U32" i="11"/>
  <c r="Y32" i="11"/>
  <c r="AA32" i="11"/>
  <c r="AB32" i="11" s="1"/>
  <c r="G33" i="11"/>
  <c r="I33" i="11"/>
  <c r="M33" i="11"/>
  <c r="O33" i="11" s="1"/>
  <c r="S33" i="11"/>
  <c r="U33" i="11"/>
  <c r="Y33" i="11"/>
  <c r="AA33" i="11" s="1"/>
  <c r="G34" i="11"/>
  <c r="I34" i="11"/>
  <c r="M34" i="11"/>
  <c r="O34" i="11"/>
  <c r="S34" i="11"/>
  <c r="U34" i="11"/>
  <c r="Y34" i="11"/>
  <c r="AA34" i="11"/>
  <c r="AB34" i="11"/>
  <c r="G35" i="11"/>
  <c r="I35" i="11" s="1"/>
  <c r="M35" i="11"/>
  <c r="O35" i="11"/>
  <c r="S35" i="11"/>
  <c r="U35" i="11" s="1"/>
  <c r="U39" i="11" s="1"/>
  <c r="Y35" i="11"/>
  <c r="AA35" i="11"/>
  <c r="AB35" i="11"/>
  <c r="G36" i="11"/>
  <c r="I36" i="11"/>
  <c r="M36" i="11"/>
  <c r="O36" i="11"/>
  <c r="O39" i="11" s="1"/>
  <c r="S36" i="11"/>
  <c r="U36" i="11"/>
  <c r="Y36" i="11"/>
  <c r="AA36" i="11"/>
  <c r="AB36" i="11" s="1"/>
  <c r="G37" i="11"/>
  <c r="I37" i="11"/>
  <c r="M37" i="11"/>
  <c r="O37" i="11" s="1"/>
  <c r="S37" i="11"/>
  <c r="U37" i="11"/>
  <c r="Y37" i="11"/>
  <c r="AA37" i="11" s="1"/>
  <c r="G38" i="11"/>
  <c r="I38" i="11"/>
  <c r="M38" i="11"/>
  <c r="O38" i="11"/>
  <c r="S38" i="11"/>
  <c r="U38" i="11"/>
  <c r="Y38" i="11"/>
  <c r="AA38" i="11"/>
  <c r="AB38" i="11"/>
  <c r="D39" i="11"/>
  <c r="G39" i="11" s="1"/>
  <c r="E39" i="11"/>
  <c r="F39" i="11"/>
  <c r="H39" i="11"/>
  <c r="J39" i="11"/>
  <c r="M39" i="11" s="1"/>
  <c r="K39" i="11"/>
  <c r="L39" i="11"/>
  <c r="N39" i="11"/>
  <c r="P39" i="11"/>
  <c r="S39" i="11" s="1"/>
  <c r="Q39" i="11"/>
  <c r="R39" i="11"/>
  <c r="T39" i="11"/>
  <c r="V39" i="11"/>
  <c r="Y39" i="11" s="1"/>
  <c r="W39" i="11"/>
  <c r="X39" i="11"/>
  <c r="Z39" i="11"/>
  <c r="E40" i="11"/>
  <c r="F40" i="11"/>
  <c r="J40" i="11"/>
  <c r="K40" i="11"/>
  <c r="N40" i="11"/>
  <c r="Q40" i="11"/>
  <c r="R40" i="11"/>
  <c r="V40" i="11"/>
  <c r="W40" i="11"/>
  <c r="Z40" i="11"/>
  <c r="G50" i="11"/>
  <c r="S50" i="11"/>
  <c r="V50" i="11" s="1"/>
  <c r="Y50" i="11" s="1"/>
  <c r="G51" i="11"/>
  <c r="S51" i="11"/>
  <c r="V51" i="11" s="1"/>
  <c r="Y51" i="11" s="1"/>
  <c r="G52" i="11"/>
  <c r="M52" i="11"/>
  <c r="S52" i="11"/>
  <c r="V52" i="11"/>
  <c r="Y52" i="11"/>
  <c r="G53" i="11"/>
  <c r="M53" i="11"/>
  <c r="S53" i="11"/>
  <c r="V53" i="11"/>
  <c r="Y53" i="11"/>
  <c r="G54" i="11"/>
  <c r="M54" i="11"/>
  <c r="S54" i="11"/>
  <c r="V54" i="11"/>
  <c r="Y54" i="11" s="1"/>
  <c r="AB33" i="11" l="1"/>
  <c r="U24" i="11"/>
  <c r="U40" i="11" s="1"/>
  <c r="U41" i="11" s="1"/>
  <c r="I24" i="11"/>
  <c r="I40" i="11" s="1"/>
  <c r="I41" i="11" s="1"/>
  <c r="AB37" i="11"/>
  <c r="I39" i="11"/>
  <c r="AB29" i="11"/>
  <c r="AA39" i="11"/>
  <c r="AB39" i="11" s="1"/>
  <c r="AA24" i="11"/>
  <c r="S24" i="11"/>
  <c r="S40" i="11" s="1"/>
  <c r="G24" i="11"/>
  <c r="G40" i="11" s="1"/>
  <c r="AB24" i="11" l="1"/>
  <c r="AA40" i="11"/>
  <c r="AB40" i="11" l="1"/>
  <c r="AA41" i="11"/>
  <c r="AB41" i="11" s="1"/>
  <c r="G15" i="10" l="1"/>
  <c r="I15" i="10" s="1"/>
  <c r="M15" i="10"/>
  <c r="O15" i="10"/>
  <c r="S15" i="10"/>
  <c r="U15" i="10"/>
  <c r="Y15" i="10"/>
  <c r="AA15" i="10"/>
  <c r="AB15" i="10" s="1"/>
  <c r="G16" i="10"/>
  <c r="I16" i="10" s="1"/>
  <c r="M16" i="10"/>
  <c r="O16" i="10" s="1"/>
  <c r="S16" i="10"/>
  <c r="U16" i="10" s="1"/>
  <c r="Y16" i="10"/>
  <c r="AA16" i="10" s="1"/>
  <c r="G17" i="10"/>
  <c r="I17" i="10"/>
  <c r="M17" i="10"/>
  <c r="O17" i="10"/>
  <c r="S17" i="10"/>
  <c r="U17" i="10"/>
  <c r="Y17" i="10"/>
  <c r="AA17" i="10"/>
  <c r="AB17" i="10" s="1"/>
  <c r="G18" i="10"/>
  <c r="I18" i="10" s="1"/>
  <c r="M18" i="10"/>
  <c r="O18" i="10" s="1"/>
  <c r="S18" i="10"/>
  <c r="U18" i="10" s="1"/>
  <c r="W18" i="10"/>
  <c r="Y18" i="10" s="1"/>
  <c r="AA18" i="10" s="1"/>
  <c r="AB18" i="10" s="1"/>
  <c r="G19" i="10"/>
  <c r="I19" i="10" s="1"/>
  <c r="M19" i="10"/>
  <c r="O19" i="10" s="1"/>
  <c r="S19" i="10"/>
  <c r="U19" i="10" s="1"/>
  <c r="Y19" i="10"/>
  <c r="AA19" i="10" s="1"/>
  <c r="AB19" i="10" s="1"/>
  <c r="G20" i="10"/>
  <c r="I20" i="10"/>
  <c r="M20" i="10"/>
  <c r="O20" i="10"/>
  <c r="S20" i="10"/>
  <c r="U20" i="10"/>
  <c r="Y20" i="10"/>
  <c r="AA20" i="10"/>
  <c r="AB20" i="10" s="1"/>
  <c r="G21" i="10"/>
  <c r="I21" i="10" s="1"/>
  <c r="M21" i="10"/>
  <c r="O21" i="10" s="1"/>
  <c r="S21" i="10"/>
  <c r="U21" i="10" s="1"/>
  <c r="Y21" i="10"/>
  <c r="AA21" i="10" s="1"/>
  <c r="AB21" i="10" s="1"/>
  <c r="G22" i="10"/>
  <c r="I22" i="10"/>
  <c r="M22" i="10"/>
  <c r="O22" i="10"/>
  <c r="S22" i="10"/>
  <c r="U22" i="10"/>
  <c r="Y22" i="10"/>
  <c r="AA22" i="10"/>
  <c r="AB22" i="10" s="1"/>
  <c r="G23" i="10"/>
  <c r="I23" i="10" s="1"/>
  <c r="M23" i="10"/>
  <c r="O23" i="10" s="1"/>
  <c r="S23" i="10"/>
  <c r="U23" i="10" s="1"/>
  <c r="Y23" i="10"/>
  <c r="AA23" i="10" s="1"/>
  <c r="AB23" i="10" s="1"/>
  <c r="D24" i="10"/>
  <c r="E24" i="10"/>
  <c r="G24" i="10" s="1"/>
  <c r="F24" i="10"/>
  <c r="H24" i="10"/>
  <c r="J24" i="10"/>
  <c r="K24" i="10"/>
  <c r="L24" i="10"/>
  <c r="M24" i="10"/>
  <c r="N24" i="10"/>
  <c r="P24" i="10"/>
  <c r="Q24" i="10"/>
  <c r="S24" i="10" s="1"/>
  <c r="R24" i="10"/>
  <c r="T24" i="10"/>
  <c r="V24" i="10"/>
  <c r="W24" i="10"/>
  <c r="X24" i="10"/>
  <c r="Y24" i="10"/>
  <c r="Z24" i="10"/>
  <c r="G28" i="10"/>
  <c r="I28" i="10" s="1"/>
  <c r="M28" i="10"/>
  <c r="O28" i="10" s="1"/>
  <c r="S28" i="10"/>
  <c r="U28" i="10" s="1"/>
  <c r="Y28" i="10"/>
  <c r="AA28" i="10" s="1"/>
  <c r="G29" i="10"/>
  <c r="I29" i="10"/>
  <c r="M29" i="10"/>
  <c r="O29" i="10"/>
  <c r="S29" i="10"/>
  <c r="U29" i="10"/>
  <c r="V29" i="10"/>
  <c r="Y29" i="10"/>
  <c r="AA29" i="10" s="1"/>
  <c r="AB29" i="10" s="1"/>
  <c r="G30" i="10"/>
  <c r="I30" i="10"/>
  <c r="M30" i="10"/>
  <c r="O30" i="10"/>
  <c r="S30" i="10"/>
  <c r="U30" i="10"/>
  <c r="Y30" i="10"/>
  <c r="AA30" i="10"/>
  <c r="AB30" i="10" s="1"/>
  <c r="G31" i="10"/>
  <c r="I31" i="10" s="1"/>
  <c r="M31" i="10"/>
  <c r="O31" i="10" s="1"/>
  <c r="S31" i="10"/>
  <c r="U31" i="10" s="1"/>
  <c r="V31" i="10"/>
  <c r="Y31" i="10" s="1"/>
  <c r="AA31" i="10" s="1"/>
  <c r="G32" i="10"/>
  <c r="I32" i="10" s="1"/>
  <c r="M32" i="10"/>
  <c r="O32" i="10" s="1"/>
  <c r="S32" i="10"/>
  <c r="U32" i="10" s="1"/>
  <c r="V32" i="10"/>
  <c r="G33" i="10"/>
  <c r="I33" i="10"/>
  <c r="M33" i="10"/>
  <c r="O33" i="10"/>
  <c r="S33" i="10"/>
  <c r="U33" i="10"/>
  <c r="V33" i="10"/>
  <c r="W33" i="10"/>
  <c r="W32" i="10" s="1"/>
  <c r="G34" i="10"/>
  <c r="I34" i="10" s="1"/>
  <c r="M34" i="10"/>
  <c r="O34" i="10" s="1"/>
  <c r="S34" i="10"/>
  <c r="U34" i="10" s="1"/>
  <c r="W34" i="10"/>
  <c r="Y34" i="10" s="1"/>
  <c r="AA34" i="10" s="1"/>
  <c r="G35" i="10"/>
  <c r="I35" i="10" s="1"/>
  <c r="M35" i="10"/>
  <c r="O35" i="10" s="1"/>
  <c r="S35" i="10"/>
  <c r="U35" i="10" s="1"/>
  <c r="U39" i="10" s="1"/>
  <c r="V35" i="10"/>
  <c r="Y35" i="10" s="1"/>
  <c r="AA35" i="10" s="1"/>
  <c r="W35" i="10"/>
  <c r="G36" i="10"/>
  <c r="I36" i="10"/>
  <c r="M36" i="10"/>
  <c r="O36" i="10"/>
  <c r="S36" i="10"/>
  <c r="U36" i="10"/>
  <c r="Y36" i="10"/>
  <c r="AA36" i="10"/>
  <c r="AB36" i="10" s="1"/>
  <c r="G37" i="10"/>
  <c r="I37" i="10" s="1"/>
  <c r="M37" i="10"/>
  <c r="O37" i="10" s="1"/>
  <c r="S37" i="10"/>
  <c r="U37" i="10" s="1"/>
  <c r="Y37" i="10"/>
  <c r="AA37" i="10" s="1"/>
  <c r="G38" i="10"/>
  <c r="I38" i="10"/>
  <c r="M38" i="10"/>
  <c r="O38" i="10"/>
  <c r="S38" i="10"/>
  <c r="U38" i="10"/>
  <c r="V38" i="10"/>
  <c r="Y38" i="10" s="1"/>
  <c r="AA38" i="10" s="1"/>
  <c r="AB38" i="10" s="1"/>
  <c r="W38" i="10"/>
  <c r="D39" i="10"/>
  <c r="G39" i="10" s="1"/>
  <c r="E39" i="10"/>
  <c r="F39" i="10"/>
  <c r="H39" i="10"/>
  <c r="H40" i="10" s="1"/>
  <c r="J39" i="10"/>
  <c r="M39" i="10" s="1"/>
  <c r="M40" i="10" s="1"/>
  <c r="K39" i="10"/>
  <c r="L39" i="10"/>
  <c r="L40" i="10" s="1"/>
  <c r="N39" i="10"/>
  <c r="P39" i="10"/>
  <c r="S39" i="10" s="1"/>
  <c r="Q39" i="10"/>
  <c r="R39" i="10"/>
  <c r="T39" i="10"/>
  <c r="T40" i="10" s="1"/>
  <c r="V39" i="10"/>
  <c r="X39" i="10"/>
  <c r="X40" i="10" s="1"/>
  <c r="Z39" i="10"/>
  <c r="E40" i="10"/>
  <c r="F40" i="10"/>
  <c r="J40" i="10"/>
  <c r="K40" i="10"/>
  <c r="N40" i="10"/>
  <c r="Q40" i="10"/>
  <c r="R40" i="10"/>
  <c r="V40" i="10"/>
  <c r="Z40" i="10"/>
  <c r="D50" i="10"/>
  <c r="E50" i="10"/>
  <c r="F50" i="10"/>
  <c r="J50" i="10"/>
  <c r="K50" i="10"/>
  <c r="M50" i="10" s="1"/>
  <c r="L50" i="10"/>
  <c r="P50" i="10"/>
  <c r="Q50" i="10"/>
  <c r="S50" i="10" s="1"/>
  <c r="R50" i="10"/>
  <c r="V50" i="10"/>
  <c r="W50" i="10"/>
  <c r="Y50" i="10" s="1"/>
  <c r="X50" i="10"/>
  <c r="G51" i="10"/>
  <c r="G50" i="10" s="1"/>
  <c r="M51" i="10"/>
  <c r="S51" i="10"/>
  <c r="Y51" i="10"/>
  <c r="G52" i="10"/>
  <c r="M52" i="10"/>
  <c r="S52" i="10"/>
  <c r="Y52" i="10"/>
  <c r="G53" i="10"/>
  <c r="M53" i="10"/>
  <c r="S53" i="10"/>
  <c r="Y53" i="10"/>
  <c r="G54" i="10"/>
  <c r="M54" i="10"/>
  <c r="S54" i="10"/>
  <c r="Y54" i="10"/>
  <c r="O39" i="10" l="1"/>
  <c r="AB16" i="10"/>
  <c r="AA24" i="10"/>
  <c r="AB37" i="10"/>
  <c r="I39" i="10"/>
  <c r="S40" i="10"/>
  <c r="U24" i="10"/>
  <c r="U40" i="10" s="1"/>
  <c r="U41" i="10" s="1"/>
  <c r="AB35" i="10"/>
  <c r="AB34" i="10"/>
  <c r="W39" i="10"/>
  <c r="W40" i="10" s="1"/>
  <c r="Y32" i="10"/>
  <c r="AA32" i="10" s="1"/>
  <c r="AB32" i="10" s="1"/>
  <c r="AB31" i="10"/>
  <c r="AB28" i="10"/>
  <c r="G40" i="10"/>
  <c r="O24" i="10"/>
  <c r="O40" i="10" s="1"/>
  <c r="O41" i="10" s="1"/>
  <c r="I24" i="10"/>
  <c r="I40" i="10" s="1"/>
  <c r="I41" i="10" s="1"/>
  <c r="P40" i="10"/>
  <c r="D40" i="10"/>
  <c r="Y33" i="10"/>
  <c r="AA33" i="10" s="1"/>
  <c r="AB33" i="10" s="1"/>
  <c r="AB24" i="10" l="1"/>
  <c r="AA39" i="10"/>
  <c r="AB39" i="10" s="1"/>
  <c r="Y39" i="10"/>
  <c r="Y40" i="10" s="1"/>
  <c r="AA40" i="10" l="1"/>
  <c r="AB40" i="10" l="1"/>
  <c r="AA41" i="10"/>
  <c r="AB41" i="10" s="1"/>
  <c r="G15" i="9" l="1"/>
  <c r="I15" i="9" s="1"/>
  <c r="M15" i="9"/>
  <c r="O15" i="9"/>
  <c r="S15" i="9"/>
  <c r="U15" i="9"/>
  <c r="Y15" i="9"/>
  <c r="AA15" i="9"/>
  <c r="AB15" i="9" s="1"/>
  <c r="G16" i="9"/>
  <c r="I16" i="9"/>
  <c r="M16" i="9"/>
  <c r="O16" i="9" s="1"/>
  <c r="S16" i="9"/>
  <c r="U16" i="9"/>
  <c r="Y16" i="9"/>
  <c r="AA16" i="9" s="1"/>
  <c r="G17" i="9"/>
  <c r="I17" i="9"/>
  <c r="M17" i="9"/>
  <c r="O17" i="9" s="1"/>
  <c r="AB17" i="9" s="1"/>
  <c r="S17" i="9"/>
  <c r="U17" i="9"/>
  <c r="Y17" i="9"/>
  <c r="AA17" i="9"/>
  <c r="G18" i="9"/>
  <c r="I18" i="9" s="1"/>
  <c r="M18" i="9"/>
  <c r="O18" i="9"/>
  <c r="S18" i="9"/>
  <c r="U18" i="9" s="1"/>
  <c r="Y18" i="9"/>
  <c r="AA18" i="9"/>
  <c r="AB18" i="9"/>
  <c r="G19" i="9"/>
  <c r="I19" i="9" s="1"/>
  <c r="M19" i="9"/>
  <c r="O19" i="9"/>
  <c r="S19" i="9"/>
  <c r="U19" i="9" s="1"/>
  <c r="Y19" i="9"/>
  <c r="AA19" i="9"/>
  <c r="AB19" i="9" s="1"/>
  <c r="G20" i="9"/>
  <c r="I20" i="9"/>
  <c r="M20" i="9"/>
  <c r="O20" i="9" s="1"/>
  <c r="S20" i="9"/>
  <c r="U20" i="9"/>
  <c r="Y20" i="9"/>
  <c r="AA20" i="9" s="1"/>
  <c r="G21" i="9"/>
  <c r="I21" i="9"/>
  <c r="M21" i="9"/>
  <c r="O21" i="9"/>
  <c r="S21" i="9"/>
  <c r="U21" i="9"/>
  <c r="Y21" i="9"/>
  <c r="AA21" i="9" s="1"/>
  <c r="AB21" i="9" s="1"/>
  <c r="G22" i="9"/>
  <c r="I22" i="9" s="1"/>
  <c r="M22" i="9"/>
  <c r="O22" i="9"/>
  <c r="S22" i="9"/>
  <c r="U22" i="9" s="1"/>
  <c r="Y22" i="9"/>
  <c r="AA22" i="9"/>
  <c r="AB22" i="9"/>
  <c r="G23" i="9"/>
  <c r="I23" i="9" s="1"/>
  <c r="M23" i="9"/>
  <c r="O23" i="9"/>
  <c r="S23" i="9"/>
  <c r="U23" i="9" s="1"/>
  <c r="Y23" i="9"/>
  <c r="AA23" i="9"/>
  <c r="AB23" i="9" s="1"/>
  <c r="D24" i="9"/>
  <c r="E24" i="9"/>
  <c r="G24" i="9" s="1"/>
  <c r="F24" i="9"/>
  <c r="F40" i="9" s="1"/>
  <c r="H24" i="9"/>
  <c r="J24" i="9"/>
  <c r="J40" i="9" s="1"/>
  <c r="K24" i="9"/>
  <c r="L24" i="9"/>
  <c r="N24" i="9"/>
  <c r="N40" i="9" s="1"/>
  <c r="P24" i="9"/>
  <c r="Q24" i="9"/>
  <c r="S24" i="9" s="1"/>
  <c r="R24" i="9"/>
  <c r="R40" i="9" s="1"/>
  <c r="T24" i="9"/>
  <c r="V24" i="9"/>
  <c r="V40" i="9" s="1"/>
  <c r="W24" i="9"/>
  <c r="X24" i="9"/>
  <c r="Z24" i="9"/>
  <c r="Z40" i="9" s="1"/>
  <c r="G28" i="9"/>
  <c r="I28" i="9"/>
  <c r="M28" i="9"/>
  <c r="O28" i="9" s="1"/>
  <c r="S28" i="9"/>
  <c r="U28" i="9"/>
  <c r="Y28" i="9"/>
  <c r="AA28" i="9" s="1"/>
  <c r="G29" i="9"/>
  <c r="I29" i="9" s="1"/>
  <c r="M29" i="9"/>
  <c r="O29" i="9"/>
  <c r="S29" i="9"/>
  <c r="U29" i="9" s="1"/>
  <c r="Y29" i="9"/>
  <c r="AA29" i="9"/>
  <c r="AB29" i="9"/>
  <c r="G30" i="9"/>
  <c r="I30" i="9" s="1"/>
  <c r="M30" i="9"/>
  <c r="O30" i="9"/>
  <c r="S30" i="9"/>
  <c r="U30" i="9" s="1"/>
  <c r="Y30" i="9"/>
  <c r="AA30" i="9"/>
  <c r="AB30" i="9" s="1"/>
  <c r="G31" i="9"/>
  <c r="I31" i="9"/>
  <c r="M31" i="9"/>
  <c r="O31" i="9" s="1"/>
  <c r="S31" i="9"/>
  <c r="U31" i="9"/>
  <c r="Y31" i="9"/>
  <c r="AA31" i="9" s="1"/>
  <c r="AB31" i="9" s="1"/>
  <c r="G32" i="9"/>
  <c r="I32" i="9"/>
  <c r="M32" i="9"/>
  <c r="O32" i="9"/>
  <c r="S32" i="9"/>
  <c r="U32" i="9"/>
  <c r="Y32" i="9"/>
  <c r="AA32" i="9"/>
  <c r="AB32" i="9"/>
  <c r="G33" i="9"/>
  <c r="I33" i="9" s="1"/>
  <c r="M33" i="9"/>
  <c r="O33" i="9"/>
  <c r="S33" i="9"/>
  <c r="U33" i="9" s="1"/>
  <c r="Y33" i="9"/>
  <c r="AA33" i="9"/>
  <c r="AB33" i="9"/>
  <c r="G34" i="9"/>
  <c r="I34" i="9" s="1"/>
  <c r="M34" i="9"/>
  <c r="O34" i="9"/>
  <c r="S34" i="9"/>
  <c r="U34" i="9"/>
  <c r="Y34" i="9"/>
  <c r="AA34" i="9"/>
  <c r="AB34" i="9" s="1"/>
  <c r="G35" i="9"/>
  <c r="I35" i="9"/>
  <c r="M35" i="9"/>
  <c r="O35" i="9" s="1"/>
  <c r="S35" i="9"/>
  <c r="U35" i="9"/>
  <c r="Y35" i="9"/>
  <c r="AA35" i="9" s="1"/>
  <c r="G36" i="9"/>
  <c r="I36" i="9"/>
  <c r="M36" i="9"/>
  <c r="O36" i="9" s="1"/>
  <c r="AB36" i="9" s="1"/>
  <c r="S36" i="9"/>
  <c r="U36" i="9"/>
  <c r="Y36" i="9"/>
  <c r="AA36" i="9"/>
  <c r="G37" i="9"/>
  <c r="I37" i="9" s="1"/>
  <c r="M37" i="9"/>
  <c r="O37" i="9"/>
  <c r="S37" i="9"/>
  <c r="U37" i="9" s="1"/>
  <c r="Y37" i="9"/>
  <c r="AA37" i="9"/>
  <c r="AB37" i="9"/>
  <c r="G38" i="9"/>
  <c r="I38" i="9" s="1"/>
  <c r="M38" i="9"/>
  <c r="O38" i="9"/>
  <c r="S38" i="9"/>
  <c r="U38" i="9"/>
  <c r="Y38" i="9"/>
  <c r="AA38" i="9"/>
  <c r="AB38" i="9" s="1"/>
  <c r="D39" i="9"/>
  <c r="G39" i="9" s="1"/>
  <c r="E39" i="9"/>
  <c r="F39" i="9"/>
  <c r="H39" i="9"/>
  <c r="J39" i="9"/>
  <c r="M39" i="9" s="1"/>
  <c r="K39" i="9"/>
  <c r="L39" i="9"/>
  <c r="N39" i="9"/>
  <c r="P39" i="9"/>
  <c r="Q39" i="9"/>
  <c r="S39" i="9" s="1"/>
  <c r="R39" i="9"/>
  <c r="T39" i="9"/>
  <c r="V39" i="9"/>
  <c r="Y39" i="9" s="1"/>
  <c r="W39" i="9"/>
  <c r="X39" i="9"/>
  <c r="Z39" i="9"/>
  <c r="D40" i="9"/>
  <c r="E40" i="9"/>
  <c r="H40" i="9"/>
  <c r="K40" i="9"/>
  <c r="L40" i="9"/>
  <c r="P40" i="9"/>
  <c r="Q40" i="9"/>
  <c r="T40" i="9"/>
  <c r="W40" i="9"/>
  <c r="X40" i="9"/>
  <c r="D50" i="9"/>
  <c r="E50" i="9"/>
  <c r="F50" i="9"/>
  <c r="G50" i="9"/>
  <c r="J50" i="9"/>
  <c r="K50" i="9"/>
  <c r="L50" i="9"/>
  <c r="M50" i="9"/>
  <c r="P50" i="9"/>
  <c r="Q50" i="9"/>
  <c r="R50" i="9"/>
  <c r="S50" i="9"/>
  <c r="V50" i="9"/>
  <c r="W50" i="9"/>
  <c r="X50" i="9"/>
  <c r="G51" i="9"/>
  <c r="M51" i="9"/>
  <c r="S51" i="9"/>
  <c r="Y51" i="9"/>
  <c r="Y50" i="9" s="1"/>
  <c r="G52" i="9"/>
  <c r="M52" i="9"/>
  <c r="S52" i="9"/>
  <c r="Y52" i="9"/>
  <c r="G53" i="9"/>
  <c r="M53" i="9"/>
  <c r="S53" i="9"/>
  <c r="Y53" i="9"/>
  <c r="G54" i="9"/>
  <c r="M54" i="9"/>
  <c r="S54" i="9"/>
  <c r="Y54" i="9"/>
  <c r="I39" i="9" l="1"/>
  <c r="AB20" i="9"/>
  <c r="O24" i="9"/>
  <c r="O40" i="9" s="1"/>
  <c r="O41" i="9" s="1"/>
  <c r="U39" i="9"/>
  <c r="O39" i="9"/>
  <c r="U24" i="9"/>
  <c r="AA39" i="9"/>
  <c r="AB39" i="9" s="1"/>
  <c r="AB35" i="9"/>
  <c r="AB28" i="9"/>
  <c r="S40" i="9"/>
  <c r="G40" i="9"/>
  <c r="AB16" i="9"/>
  <c r="I24" i="9"/>
  <c r="I40" i="9" s="1"/>
  <c r="I41" i="9" s="1"/>
  <c r="Y24" i="9"/>
  <c r="Y40" i="9" s="1"/>
  <c r="M24" i="9"/>
  <c r="M40" i="9" s="1"/>
  <c r="AA24" i="9"/>
  <c r="AB24" i="9" l="1"/>
  <c r="AA40" i="9"/>
  <c r="U40" i="9"/>
  <c r="U41" i="9" s="1"/>
  <c r="AB40" i="9" l="1"/>
  <c r="AA41" i="9"/>
  <c r="AB41" i="9" s="1"/>
  <c r="G15" i="8" l="1"/>
  <c r="I15" i="8" s="1"/>
  <c r="I24" i="8" s="1"/>
  <c r="M15" i="8"/>
  <c r="O15" i="8"/>
  <c r="AB15" i="8" s="1"/>
  <c r="S15" i="8"/>
  <c r="U15" i="8" s="1"/>
  <c r="U24" i="8" s="1"/>
  <c r="U40" i="8" s="1"/>
  <c r="U41" i="8" s="1"/>
  <c r="AA15" i="8"/>
  <c r="G16" i="8"/>
  <c r="I16" i="8" s="1"/>
  <c r="M16" i="8"/>
  <c r="O16" i="8"/>
  <c r="S16" i="8"/>
  <c r="U16" i="8" s="1"/>
  <c r="Y16" i="8"/>
  <c r="AA16" i="8"/>
  <c r="AB16" i="8"/>
  <c r="G17" i="8"/>
  <c r="I17" i="8"/>
  <c r="M17" i="8"/>
  <c r="O17" i="8"/>
  <c r="S17" i="8"/>
  <c r="U17" i="8"/>
  <c r="Y17" i="8"/>
  <c r="Y24" i="8" s="1"/>
  <c r="Y40" i="8" s="1"/>
  <c r="AA17" i="8"/>
  <c r="AB17" i="8" s="1"/>
  <c r="G18" i="8"/>
  <c r="I18" i="8"/>
  <c r="M18" i="8"/>
  <c r="O18" i="8" s="1"/>
  <c r="O24" i="8" s="1"/>
  <c r="S18" i="8"/>
  <c r="U18" i="8"/>
  <c r="AA18" i="8"/>
  <c r="G19" i="8"/>
  <c r="I19" i="8"/>
  <c r="M19" i="8"/>
  <c r="O19" i="8" s="1"/>
  <c r="S19" i="8"/>
  <c r="U19" i="8"/>
  <c r="AA19" i="8"/>
  <c r="AB19" i="8" s="1"/>
  <c r="I20" i="8"/>
  <c r="M20" i="8"/>
  <c r="O20" i="8"/>
  <c r="S20" i="8"/>
  <c r="U20" i="8"/>
  <c r="AA20" i="8"/>
  <c r="AB20" i="8"/>
  <c r="G21" i="8"/>
  <c r="I21" i="8"/>
  <c r="M21" i="8"/>
  <c r="O21" i="8"/>
  <c r="AB21" i="8" s="1"/>
  <c r="U21" i="8"/>
  <c r="AA21" i="8"/>
  <c r="G22" i="8"/>
  <c r="I22" i="8" s="1"/>
  <c r="O22" i="8"/>
  <c r="S22" i="8"/>
  <c r="U22" i="8"/>
  <c r="Y22" i="8"/>
  <c r="AA22" i="8"/>
  <c r="AB22" i="8"/>
  <c r="G23" i="8"/>
  <c r="I23" i="8" s="1"/>
  <c r="M23" i="8"/>
  <c r="O23" i="8"/>
  <c r="S23" i="8"/>
  <c r="U23" i="8" s="1"/>
  <c r="Y23" i="8"/>
  <c r="AA23" i="8"/>
  <c r="AB23" i="8"/>
  <c r="D24" i="8"/>
  <c r="E24" i="8"/>
  <c r="F24" i="8"/>
  <c r="F40" i="8" s="1"/>
  <c r="G24" i="8"/>
  <c r="G40" i="8" s="1"/>
  <c r="H24" i="8"/>
  <c r="J24" i="8"/>
  <c r="J40" i="8" s="1"/>
  <c r="K24" i="8"/>
  <c r="K40" i="8" s="1"/>
  <c r="L24" i="8"/>
  <c r="N24" i="8"/>
  <c r="N40" i="8" s="1"/>
  <c r="P24" i="8"/>
  <c r="Q24" i="8"/>
  <c r="R24" i="8"/>
  <c r="R40" i="8" s="1"/>
  <c r="S24" i="8"/>
  <c r="S40" i="8" s="1"/>
  <c r="T24" i="8"/>
  <c r="V24" i="8"/>
  <c r="V40" i="8" s="1"/>
  <c r="W24" i="8"/>
  <c r="W40" i="8" s="1"/>
  <c r="X24" i="8"/>
  <c r="Z24" i="8"/>
  <c r="Z40" i="8" s="1"/>
  <c r="AA24" i="8"/>
  <c r="AB24" i="8" s="1"/>
  <c r="G28" i="8"/>
  <c r="I28" i="8"/>
  <c r="M28" i="8"/>
  <c r="O28" i="8" s="1"/>
  <c r="S28" i="8"/>
  <c r="U28" i="8"/>
  <c r="AA28" i="8"/>
  <c r="AB28" i="8" s="1"/>
  <c r="G29" i="8"/>
  <c r="I29" i="8"/>
  <c r="M29" i="8"/>
  <c r="O29" i="8" s="1"/>
  <c r="S29" i="8"/>
  <c r="U29" i="8"/>
  <c r="AA29" i="8"/>
  <c r="I30" i="8"/>
  <c r="M30" i="8"/>
  <c r="O30" i="8"/>
  <c r="S30" i="8"/>
  <c r="U30" i="8"/>
  <c r="AA30" i="8"/>
  <c r="AB30" i="8"/>
  <c r="G31" i="8"/>
  <c r="I31" i="8"/>
  <c r="M31" i="8"/>
  <c r="O31" i="8"/>
  <c r="S31" i="8"/>
  <c r="U31" i="8"/>
  <c r="AA31" i="8"/>
  <c r="AB31" i="8"/>
  <c r="G32" i="8"/>
  <c r="I32" i="8"/>
  <c r="M32" i="8"/>
  <c r="O32" i="8"/>
  <c r="S32" i="8"/>
  <c r="U32" i="8"/>
  <c r="AA32" i="8"/>
  <c r="AB32" i="8"/>
  <c r="G33" i="8"/>
  <c r="I33" i="8"/>
  <c r="M33" i="8"/>
  <c r="O33" i="8"/>
  <c r="S33" i="8"/>
  <c r="U33" i="8"/>
  <c r="AA33" i="8"/>
  <c r="AB33" i="8"/>
  <c r="I34" i="8"/>
  <c r="M34" i="8"/>
  <c r="O34" i="8"/>
  <c r="S34" i="8"/>
  <c r="U34" i="8" s="1"/>
  <c r="AA34" i="8"/>
  <c r="AB34" i="8"/>
  <c r="G35" i="8"/>
  <c r="I35" i="8" s="1"/>
  <c r="I39" i="8" s="1"/>
  <c r="M35" i="8"/>
  <c r="O35" i="8"/>
  <c r="S35" i="8"/>
  <c r="U35" i="8" s="1"/>
  <c r="U39" i="8" s="1"/>
  <c r="AA35" i="8"/>
  <c r="AA39" i="8" s="1"/>
  <c r="AB35" i="8"/>
  <c r="I36" i="8"/>
  <c r="M36" i="8"/>
  <c r="O36" i="8"/>
  <c r="S36" i="8"/>
  <c r="U36" i="8"/>
  <c r="AA36" i="8"/>
  <c r="AB36" i="8"/>
  <c r="I37" i="8"/>
  <c r="M37" i="8"/>
  <c r="O37" i="8" s="1"/>
  <c r="S37" i="8"/>
  <c r="U37" i="8"/>
  <c r="AA37" i="8"/>
  <c r="AB37" i="8" s="1"/>
  <c r="G38" i="8"/>
  <c r="I38" i="8"/>
  <c r="M38" i="8"/>
  <c r="O38" i="8" s="1"/>
  <c r="S38" i="8"/>
  <c r="U38" i="8"/>
  <c r="AA38" i="8"/>
  <c r="D39" i="8"/>
  <c r="E39" i="8"/>
  <c r="F39" i="8"/>
  <c r="H39" i="8"/>
  <c r="J39" i="8"/>
  <c r="M39" i="8" s="1"/>
  <c r="K39" i="8"/>
  <c r="L39" i="8"/>
  <c r="N39" i="8"/>
  <c r="P39" i="8"/>
  <c r="Q39" i="8"/>
  <c r="R39" i="8"/>
  <c r="S39" i="8"/>
  <c r="T39" i="8"/>
  <c r="V39" i="8"/>
  <c r="Z39" i="8"/>
  <c r="D40" i="8"/>
  <c r="E40" i="8"/>
  <c r="H40" i="8"/>
  <c r="L40" i="8"/>
  <c r="P40" i="8"/>
  <c r="Q40" i="8"/>
  <c r="T40" i="8"/>
  <c r="X40" i="8"/>
  <c r="G50" i="8"/>
  <c r="M50" i="8"/>
  <c r="S50" i="8"/>
  <c r="G51" i="8"/>
  <c r="M51" i="8"/>
  <c r="S51" i="8"/>
  <c r="Y51" i="8"/>
  <c r="G52" i="8"/>
  <c r="M52" i="8"/>
  <c r="S52" i="8"/>
  <c r="Y52" i="8"/>
  <c r="G53" i="8"/>
  <c r="M53" i="8"/>
  <c r="S53" i="8"/>
  <c r="Y53" i="8"/>
  <c r="G54" i="8"/>
  <c r="M54" i="8"/>
  <c r="S54" i="8"/>
  <c r="Y54" i="8"/>
  <c r="AB38" i="8" l="1"/>
  <c r="O39" i="8"/>
  <c r="O40" i="8" s="1"/>
  <c r="O41" i="8" s="1"/>
  <c r="AB29" i="8"/>
  <c r="AB18" i="8"/>
  <c r="I40" i="8"/>
  <c r="I41" i="8" s="1"/>
  <c r="AA40" i="8"/>
  <c r="M24" i="8"/>
  <c r="M40" i="8" s="1"/>
  <c r="AB40" i="8" l="1"/>
  <c r="AA41" i="8"/>
  <c r="AB41" i="8" s="1"/>
  <c r="AB39" i="8"/>
  <c r="D15" i="7" l="1"/>
  <c r="E15" i="7"/>
  <c r="F15" i="7"/>
  <c r="G15" i="7"/>
  <c r="I15" i="7" s="1"/>
  <c r="H15" i="7"/>
  <c r="J15" i="7"/>
  <c r="K15" i="7"/>
  <c r="L15" i="7"/>
  <c r="N15" i="7"/>
  <c r="P15" i="7"/>
  <c r="Q15" i="7"/>
  <c r="R15" i="7"/>
  <c r="S15" i="7"/>
  <c r="U15" i="7" s="1"/>
  <c r="T15" i="7"/>
  <c r="Y15" i="7"/>
  <c r="AA15" i="7"/>
  <c r="D16" i="7"/>
  <c r="E16" i="7"/>
  <c r="F16" i="7"/>
  <c r="H16" i="7"/>
  <c r="J16" i="7"/>
  <c r="M16" i="7" s="1"/>
  <c r="O16" i="7" s="1"/>
  <c r="K16" i="7"/>
  <c r="L16" i="7"/>
  <c r="N16" i="7"/>
  <c r="P16" i="7"/>
  <c r="Q16" i="7"/>
  <c r="R16" i="7"/>
  <c r="T16" i="7"/>
  <c r="V16" i="7"/>
  <c r="D17" i="7"/>
  <c r="E17" i="7"/>
  <c r="F17" i="7"/>
  <c r="H17" i="7"/>
  <c r="H24" i="7" s="1"/>
  <c r="J17" i="7"/>
  <c r="K17" i="7"/>
  <c r="M17" i="7" s="1"/>
  <c r="O17" i="7" s="1"/>
  <c r="AB17" i="7" s="1"/>
  <c r="L17" i="7"/>
  <c r="N17" i="7"/>
  <c r="P17" i="7"/>
  <c r="Q17" i="7"/>
  <c r="R17" i="7"/>
  <c r="T17" i="7"/>
  <c r="T24" i="7" s="1"/>
  <c r="Y17" i="7"/>
  <c r="AA17" i="7"/>
  <c r="D18" i="7"/>
  <c r="E18" i="7"/>
  <c r="F18" i="7"/>
  <c r="G18" i="7"/>
  <c r="I18" i="7" s="1"/>
  <c r="H18" i="7"/>
  <c r="J18" i="7"/>
  <c r="K18" i="7"/>
  <c r="L18" i="7"/>
  <c r="N18" i="7"/>
  <c r="P18" i="7"/>
  <c r="Q18" i="7"/>
  <c r="R18" i="7"/>
  <c r="S18" i="7"/>
  <c r="U18" i="7" s="1"/>
  <c r="T18" i="7"/>
  <c r="Y18" i="7"/>
  <c r="AA18" i="7"/>
  <c r="D19" i="7"/>
  <c r="E19" i="7"/>
  <c r="G19" i="7" s="1"/>
  <c r="I19" i="7" s="1"/>
  <c r="F19" i="7"/>
  <c r="H19" i="7"/>
  <c r="J19" i="7"/>
  <c r="M19" i="7" s="1"/>
  <c r="K19" i="7"/>
  <c r="L19" i="7"/>
  <c r="N19" i="7"/>
  <c r="P19" i="7"/>
  <c r="S19" i="7" s="1"/>
  <c r="U19" i="7" s="1"/>
  <c r="Q19" i="7"/>
  <c r="R19" i="7"/>
  <c r="T19" i="7"/>
  <c r="Y19" i="7"/>
  <c r="AA19" i="7" s="1"/>
  <c r="D20" i="7"/>
  <c r="G20" i="7" s="1"/>
  <c r="E20" i="7"/>
  <c r="F20" i="7"/>
  <c r="H20" i="7"/>
  <c r="I20" i="7"/>
  <c r="J20" i="7"/>
  <c r="K20" i="7"/>
  <c r="L20" i="7"/>
  <c r="M20" i="7"/>
  <c r="O20" i="7" s="1"/>
  <c r="N20" i="7"/>
  <c r="P20" i="7"/>
  <c r="S20" i="7" s="1"/>
  <c r="Q20" i="7"/>
  <c r="R20" i="7"/>
  <c r="T20" i="7"/>
  <c r="U20" i="7"/>
  <c r="Y20" i="7"/>
  <c r="AA20" i="7" s="1"/>
  <c r="D21" i="7"/>
  <c r="G21" i="7" s="1"/>
  <c r="I21" i="7" s="1"/>
  <c r="E21" i="7"/>
  <c r="F21" i="7"/>
  <c r="H21" i="7"/>
  <c r="J21" i="7"/>
  <c r="K21" i="7"/>
  <c r="L21" i="7"/>
  <c r="N21" i="7"/>
  <c r="P21" i="7"/>
  <c r="S21" i="7" s="1"/>
  <c r="U21" i="7" s="1"/>
  <c r="Q21" i="7"/>
  <c r="R21" i="7"/>
  <c r="T21" i="7"/>
  <c r="Y21" i="7"/>
  <c r="AA21" i="7"/>
  <c r="D22" i="7"/>
  <c r="E22" i="7"/>
  <c r="F22" i="7"/>
  <c r="G22" i="7"/>
  <c r="I22" i="7" s="1"/>
  <c r="H22" i="7"/>
  <c r="J22" i="7"/>
  <c r="M22" i="7" s="1"/>
  <c r="K22" i="7"/>
  <c r="L22" i="7"/>
  <c r="N22" i="7"/>
  <c r="O22" i="7"/>
  <c r="P22" i="7"/>
  <c r="Q22" i="7"/>
  <c r="R22" i="7"/>
  <c r="S22" i="7"/>
  <c r="U22" i="7" s="1"/>
  <c r="T22" i="7"/>
  <c r="Y22" i="7"/>
  <c r="AA22" i="7"/>
  <c r="D23" i="7"/>
  <c r="E23" i="7"/>
  <c r="F23" i="7"/>
  <c r="H23" i="7"/>
  <c r="J23" i="7"/>
  <c r="M23" i="7" s="1"/>
  <c r="O23" i="7" s="1"/>
  <c r="K23" i="7"/>
  <c r="L23" i="7"/>
  <c r="N23" i="7"/>
  <c r="P23" i="7"/>
  <c r="Q23" i="7"/>
  <c r="R23" i="7"/>
  <c r="T23" i="7"/>
  <c r="Y23" i="7"/>
  <c r="AA23" i="7" s="1"/>
  <c r="AB23" i="7" s="1"/>
  <c r="E24" i="7"/>
  <c r="Q24" i="7"/>
  <c r="W24" i="7"/>
  <c r="X24" i="7"/>
  <c r="Z24" i="7"/>
  <c r="D28" i="7"/>
  <c r="G28" i="7" s="1"/>
  <c r="I28" i="7" s="1"/>
  <c r="E28" i="7"/>
  <c r="F28" i="7"/>
  <c r="H28" i="7"/>
  <c r="J28" i="7"/>
  <c r="K28" i="7"/>
  <c r="M28" i="7" s="1"/>
  <c r="O28" i="7" s="1"/>
  <c r="L28" i="7"/>
  <c r="N28" i="7"/>
  <c r="P28" i="7"/>
  <c r="S28" i="7" s="1"/>
  <c r="U28" i="7" s="1"/>
  <c r="Q28" i="7"/>
  <c r="R28" i="7"/>
  <c r="T28" i="7"/>
  <c r="V28" i="7"/>
  <c r="Y28" i="7"/>
  <c r="AA28" i="7" s="1"/>
  <c r="AB28" i="7" s="1"/>
  <c r="D29" i="7"/>
  <c r="E29" i="7"/>
  <c r="F29" i="7"/>
  <c r="H29" i="7"/>
  <c r="J29" i="7"/>
  <c r="K29" i="7"/>
  <c r="L29" i="7"/>
  <c r="M29" i="7"/>
  <c r="O29" i="7" s="1"/>
  <c r="N29" i="7"/>
  <c r="P29" i="7"/>
  <c r="S29" i="7" s="1"/>
  <c r="Q29" i="7"/>
  <c r="R29" i="7"/>
  <c r="T29" i="7"/>
  <c r="U29" i="7"/>
  <c r="V29" i="7"/>
  <c r="Y29" i="7" s="1"/>
  <c r="AA29" i="7" s="1"/>
  <c r="AB29" i="7"/>
  <c r="D30" i="7"/>
  <c r="E30" i="7"/>
  <c r="F30" i="7"/>
  <c r="G30" i="7"/>
  <c r="I30" i="7" s="1"/>
  <c r="H30" i="7"/>
  <c r="J30" i="7"/>
  <c r="M30" i="7" s="1"/>
  <c r="K30" i="7"/>
  <c r="L30" i="7"/>
  <c r="N30" i="7"/>
  <c r="O30" i="7"/>
  <c r="P30" i="7"/>
  <c r="Q30" i="7"/>
  <c r="R30" i="7"/>
  <c r="S30" i="7"/>
  <c r="U30" i="7" s="1"/>
  <c r="T30" i="7"/>
  <c r="V30" i="7"/>
  <c r="Y30" i="7"/>
  <c r="AA30" i="7"/>
  <c r="AB30" i="7" s="1"/>
  <c r="D31" i="7"/>
  <c r="E31" i="7"/>
  <c r="F31" i="7"/>
  <c r="H31" i="7"/>
  <c r="J31" i="7"/>
  <c r="M31" i="7" s="1"/>
  <c r="O31" i="7" s="1"/>
  <c r="K31" i="7"/>
  <c r="L31" i="7"/>
  <c r="N31" i="7"/>
  <c r="P31" i="7"/>
  <c r="Q31" i="7"/>
  <c r="R31" i="7"/>
  <c r="T31" i="7"/>
  <c r="V31" i="7"/>
  <c r="Y31" i="7" s="1"/>
  <c r="AA31" i="7" s="1"/>
  <c r="AB31" i="7" s="1"/>
  <c r="D32" i="7"/>
  <c r="G32" i="7" s="1"/>
  <c r="I32" i="7" s="1"/>
  <c r="E32" i="7"/>
  <c r="F32" i="7"/>
  <c r="H32" i="7"/>
  <c r="J32" i="7"/>
  <c r="K32" i="7"/>
  <c r="M32" i="7" s="1"/>
  <c r="O32" i="7" s="1"/>
  <c r="L32" i="7"/>
  <c r="N32" i="7"/>
  <c r="P32" i="7"/>
  <c r="S32" i="7" s="1"/>
  <c r="U32" i="7" s="1"/>
  <c r="Q32" i="7"/>
  <c r="R32" i="7"/>
  <c r="T32" i="7"/>
  <c r="D33" i="7"/>
  <c r="E33" i="7"/>
  <c r="G33" i="7" s="1"/>
  <c r="I33" i="7" s="1"/>
  <c r="F33" i="7"/>
  <c r="H33" i="7"/>
  <c r="J33" i="7"/>
  <c r="M33" i="7" s="1"/>
  <c r="O33" i="7" s="1"/>
  <c r="K33" i="7"/>
  <c r="L33" i="7"/>
  <c r="N33" i="7"/>
  <c r="P33" i="7"/>
  <c r="Q33" i="7"/>
  <c r="S33" i="7" s="1"/>
  <c r="U33" i="7" s="1"/>
  <c r="R33" i="7"/>
  <c r="T33" i="7"/>
  <c r="V33" i="7"/>
  <c r="D34" i="7"/>
  <c r="G34" i="7" s="1"/>
  <c r="I34" i="7" s="1"/>
  <c r="E34" i="7"/>
  <c r="F34" i="7"/>
  <c r="H34" i="7"/>
  <c r="J34" i="7"/>
  <c r="K34" i="7"/>
  <c r="M34" i="7" s="1"/>
  <c r="O34" i="7" s="1"/>
  <c r="L34" i="7"/>
  <c r="N34" i="7"/>
  <c r="P34" i="7"/>
  <c r="S34" i="7" s="1"/>
  <c r="U34" i="7" s="1"/>
  <c r="Q34" i="7"/>
  <c r="R34" i="7"/>
  <c r="T34" i="7"/>
  <c r="Y34" i="7"/>
  <c r="AA34" i="7"/>
  <c r="AB34" i="7" s="1"/>
  <c r="D35" i="7"/>
  <c r="E35" i="7"/>
  <c r="F35" i="7"/>
  <c r="G35" i="7" s="1"/>
  <c r="I35" i="7" s="1"/>
  <c r="H35" i="7"/>
  <c r="J35" i="7"/>
  <c r="K35" i="7"/>
  <c r="L35" i="7"/>
  <c r="N35" i="7"/>
  <c r="P35" i="7"/>
  <c r="Q35" i="7"/>
  <c r="R35" i="7"/>
  <c r="S35" i="7" s="1"/>
  <c r="U35" i="7" s="1"/>
  <c r="T35" i="7"/>
  <c r="V35" i="7"/>
  <c r="Y35" i="7"/>
  <c r="AA35" i="7" s="1"/>
  <c r="D36" i="7"/>
  <c r="E36" i="7"/>
  <c r="E39" i="7" s="1"/>
  <c r="E40" i="7" s="1"/>
  <c r="F36" i="7"/>
  <c r="H36" i="7"/>
  <c r="J36" i="7"/>
  <c r="K36" i="7"/>
  <c r="L36" i="7"/>
  <c r="L39" i="7" s="1"/>
  <c r="N36" i="7"/>
  <c r="P36" i="7"/>
  <c r="Q36" i="7"/>
  <c r="Q39" i="7" s="1"/>
  <c r="Q40" i="7" s="1"/>
  <c r="R36" i="7"/>
  <c r="T36" i="7"/>
  <c r="Y36" i="7"/>
  <c r="AA36" i="7" s="1"/>
  <c r="D37" i="7"/>
  <c r="G37" i="7" s="1"/>
  <c r="I37" i="7" s="1"/>
  <c r="E37" i="7"/>
  <c r="F37" i="7"/>
  <c r="H37" i="7"/>
  <c r="J37" i="7"/>
  <c r="K37" i="7"/>
  <c r="M37" i="7" s="1"/>
  <c r="O37" i="7" s="1"/>
  <c r="L37" i="7"/>
  <c r="N37" i="7"/>
  <c r="P37" i="7"/>
  <c r="S37" i="7" s="1"/>
  <c r="U37" i="7" s="1"/>
  <c r="Q37" i="7"/>
  <c r="R37" i="7"/>
  <c r="T37" i="7"/>
  <c r="Y37" i="7"/>
  <c r="AA37" i="7"/>
  <c r="AB37" i="7" s="1"/>
  <c r="D38" i="7"/>
  <c r="E38" i="7"/>
  <c r="F38" i="7"/>
  <c r="G38" i="7" s="1"/>
  <c r="I38" i="7" s="1"/>
  <c r="H38" i="7"/>
  <c r="J38" i="7"/>
  <c r="K38" i="7"/>
  <c r="L38" i="7"/>
  <c r="N38" i="7"/>
  <c r="P38" i="7"/>
  <c r="Q38" i="7"/>
  <c r="R38" i="7"/>
  <c r="S38" i="7" s="1"/>
  <c r="U38" i="7" s="1"/>
  <c r="T38" i="7"/>
  <c r="Y38" i="7"/>
  <c r="AA38" i="7"/>
  <c r="F39" i="7"/>
  <c r="J39" i="7"/>
  <c r="N39" i="7"/>
  <c r="R39" i="7"/>
  <c r="W39" i="7"/>
  <c r="X39" i="7"/>
  <c r="Z39" i="7"/>
  <c r="Z40" i="7" s="1"/>
  <c r="W40" i="7"/>
  <c r="X40" i="7"/>
  <c r="G50" i="7"/>
  <c r="M50" i="7"/>
  <c r="P50" i="7"/>
  <c r="S50" i="7" s="1"/>
  <c r="Q50" i="7"/>
  <c r="R50" i="7"/>
  <c r="Y50" i="7"/>
  <c r="D51" i="7"/>
  <c r="G51" i="7"/>
  <c r="M51" i="7"/>
  <c r="P51" i="7"/>
  <c r="S51" i="7" s="1"/>
  <c r="V51" i="7" s="1"/>
  <c r="Y51" i="7" s="1"/>
  <c r="Q51" i="7"/>
  <c r="R51" i="7"/>
  <c r="D52" i="7"/>
  <c r="E52" i="7"/>
  <c r="F52" i="7"/>
  <c r="M52" i="7"/>
  <c r="P52" i="7"/>
  <c r="Q52" i="7"/>
  <c r="R52" i="7"/>
  <c r="W52" i="7"/>
  <c r="Y52" i="7" s="1"/>
  <c r="G53" i="7"/>
  <c r="M53" i="7"/>
  <c r="P53" i="7"/>
  <c r="Q53" i="7"/>
  <c r="R53" i="7"/>
  <c r="Y53" i="7"/>
  <c r="D54" i="7"/>
  <c r="G54" i="7" s="1"/>
  <c r="E54" i="7"/>
  <c r="F54" i="7"/>
  <c r="M54" i="7"/>
  <c r="P54" i="7"/>
  <c r="Q54" i="7"/>
  <c r="R54" i="7"/>
  <c r="S54" i="7"/>
  <c r="V54" i="7" s="1"/>
  <c r="S53" i="7" l="1"/>
  <c r="K39" i="7"/>
  <c r="M39" i="7" s="1"/>
  <c r="H39" i="7"/>
  <c r="H40" i="7" s="1"/>
  <c r="M38" i="7"/>
  <c r="O38" i="7" s="1"/>
  <c r="AB38" i="7" s="1"/>
  <c r="M36" i="7"/>
  <c r="O36" i="7" s="1"/>
  <c r="AB36" i="7" s="1"/>
  <c r="G36" i="7"/>
  <c r="I36" i="7" s="1"/>
  <c r="D39" i="7"/>
  <c r="G39" i="7" s="1"/>
  <c r="M35" i="7"/>
  <c r="O35" i="7" s="1"/>
  <c r="S31" i="7"/>
  <c r="U31" i="7" s="1"/>
  <c r="AB22" i="7"/>
  <c r="AB20" i="7"/>
  <c r="O19" i="7"/>
  <c r="AB19" i="7" s="1"/>
  <c r="M18" i="7"/>
  <c r="O18" i="7" s="1"/>
  <c r="S17" i="7"/>
  <c r="U17" i="7" s="1"/>
  <c r="P24" i="7"/>
  <c r="G17" i="7"/>
  <c r="I17" i="7" s="1"/>
  <c r="D24" i="7"/>
  <c r="S16" i="7"/>
  <c r="U16" i="7" s="1"/>
  <c r="U24" i="7" s="1"/>
  <c r="G16" i="7"/>
  <c r="I16" i="7" s="1"/>
  <c r="K24" i="7"/>
  <c r="K40" i="7" s="1"/>
  <c r="F24" i="7"/>
  <c r="F40" i="7" s="1"/>
  <c r="AB35" i="7"/>
  <c r="Y33" i="7"/>
  <c r="AA33" i="7" s="1"/>
  <c r="V32" i="7"/>
  <c r="G29" i="7"/>
  <c r="I29" i="7" s="1"/>
  <c r="I39" i="7" s="1"/>
  <c r="T39" i="7"/>
  <c r="T40" i="7" s="1"/>
  <c r="AB18" i="7"/>
  <c r="Y16" i="7"/>
  <c r="V24" i="7"/>
  <c r="J24" i="7"/>
  <c r="S52" i="7"/>
  <c r="G52" i="7"/>
  <c r="S36" i="7"/>
  <c r="U36" i="7" s="1"/>
  <c r="U39" i="7" s="1"/>
  <c r="P39" i="7"/>
  <c r="S39" i="7" s="1"/>
  <c r="G31" i="7"/>
  <c r="I31" i="7" s="1"/>
  <c r="S23" i="7"/>
  <c r="U23" i="7" s="1"/>
  <c r="G23" i="7"/>
  <c r="I23" i="7" s="1"/>
  <c r="M21" i="7"/>
  <c r="O21" i="7" s="1"/>
  <c r="AB21" i="7" s="1"/>
  <c r="L24" i="7"/>
  <c r="L40" i="7" s="1"/>
  <c r="R24" i="7"/>
  <c r="R40" i="7" s="1"/>
  <c r="N24" i="7"/>
  <c r="N40" i="7" s="1"/>
  <c r="M15" i="7"/>
  <c r="O15" i="7" s="1"/>
  <c r="S24" i="7" l="1"/>
  <c r="S40" i="7" s="1"/>
  <c r="P40" i="7"/>
  <c r="O24" i="7"/>
  <c r="O40" i="7" s="1"/>
  <c r="O41" i="7" s="1"/>
  <c r="AB15" i="7"/>
  <c r="AA16" i="7"/>
  <c r="Y24" i="7"/>
  <c r="Y32" i="7"/>
  <c r="V39" i="7"/>
  <c r="V40" i="7" s="1"/>
  <c r="U40" i="7"/>
  <c r="U41" i="7" s="1"/>
  <c r="J40" i="7"/>
  <c r="M24" i="7"/>
  <c r="M40" i="7" s="1"/>
  <c r="I24" i="7"/>
  <c r="I40" i="7" s="1"/>
  <c r="I41" i="7" s="1"/>
  <c r="O39" i="7"/>
  <c r="W54" i="7"/>
  <c r="Y54" i="7" s="1"/>
  <c r="AB33" i="7"/>
  <c r="G24" i="7"/>
  <c r="G40" i="7" s="1"/>
  <c r="D40" i="7"/>
  <c r="AA32" i="7" l="1"/>
  <c r="Y39" i="7"/>
  <c r="Y40" i="7"/>
  <c r="Z44" i="7" s="1"/>
  <c r="AB16" i="7"/>
  <c r="AA24" i="7"/>
  <c r="AB24" i="7" l="1"/>
  <c r="AB32" i="7"/>
  <c r="AA39" i="7"/>
  <c r="AB39" i="7" s="1"/>
  <c r="AA40" i="7" l="1"/>
  <c r="AA41" i="7" l="1"/>
  <c r="AB41" i="7" s="1"/>
  <c r="AB40" i="7"/>
  <c r="G15" i="6" l="1"/>
  <c r="I15" i="6"/>
  <c r="M15" i="6"/>
  <c r="O15" i="6"/>
  <c r="O24" i="6" s="1"/>
  <c r="S15" i="6"/>
  <c r="U15" i="6"/>
  <c r="Y15" i="6"/>
  <c r="AA15" i="6"/>
  <c r="AB15" i="6" s="1"/>
  <c r="G16" i="6"/>
  <c r="I16" i="6"/>
  <c r="M16" i="6"/>
  <c r="O16" i="6" s="1"/>
  <c r="S16" i="6"/>
  <c r="U16" i="6"/>
  <c r="Y16" i="6"/>
  <c r="AA16" i="6" s="1"/>
  <c r="G17" i="6"/>
  <c r="I17" i="6"/>
  <c r="M17" i="6"/>
  <c r="O17" i="6"/>
  <c r="S17" i="6"/>
  <c r="U17" i="6"/>
  <c r="Y17" i="6"/>
  <c r="AA17" i="6"/>
  <c r="AB17" i="6"/>
  <c r="E18" i="6"/>
  <c r="G18" i="6" s="1"/>
  <c r="I18" i="6" s="1"/>
  <c r="I24" i="6" s="1"/>
  <c r="M18" i="6"/>
  <c r="O18" i="6"/>
  <c r="S18" i="6"/>
  <c r="U18" i="6"/>
  <c r="Y18" i="6"/>
  <c r="AA18" i="6"/>
  <c r="AB18" i="6" s="1"/>
  <c r="G19" i="6"/>
  <c r="I19" i="6"/>
  <c r="M19" i="6"/>
  <c r="O19" i="6" s="1"/>
  <c r="S19" i="6"/>
  <c r="U19" i="6"/>
  <c r="Y19" i="6"/>
  <c r="AA19" i="6" s="1"/>
  <c r="AB19" i="6" s="1"/>
  <c r="G20" i="6"/>
  <c r="I20" i="6"/>
  <c r="M20" i="6"/>
  <c r="O20" i="6"/>
  <c r="S20" i="6"/>
  <c r="U20" i="6"/>
  <c r="Y20" i="6"/>
  <c r="AA20" i="6"/>
  <c r="AB20" i="6"/>
  <c r="G21" i="6"/>
  <c r="I21" i="6" s="1"/>
  <c r="M21" i="6"/>
  <c r="O21" i="6"/>
  <c r="S21" i="6"/>
  <c r="U21" i="6" s="1"/>
  <c r="U24" i="6" s="1"/>
  <c r="Y21" i="6"/>
  <c r="AA21" i="6"/>
  <c r="AB21" i="6"/>
  <c r="G22" i="6"/>
  <c r="I22" i="6"/>
  <c r="M22" i="6"/>
  <c r="O22" i="6"/>
  <c r="S22" i="6"/>
  <c r="U22" i="6"/>
  <c r="Y22" i="6"/>
  <c r="AA22" i="6"/>
  <c r="AB22" i="6" s="1"/>
  <c r="G23" i="6"/>
  <c r="I23" i="6"/>
  <c r="M23" i="6"/>
  <c r="O23" i="6" s="1"/>
  <c r="S23" i="6"/>
  <c r="U23" i="6"/>
  <c r="Y23" i="6"/>
  <c r="AA23" i="6" s="1"/>
  <c r="D24" i="6"/>
  <c r="E24" i="6"/>
  <c r="E40" i="6" s="1"/>
  <c r="F24" i="6"/>
  <c r="H24" i="6"/>
  <c r="J24" i="6"/>
  <c r="K24" i="6"/>
  <c r="L24" i="6"/>
  <c r="M24" i="6"/>
  <c r="N24" i="6"/>
  <c r="P24" i="6"/>
  <c r="P40" i="6" s="1"/>
  <c r="Q24" i="6"/>
  <c r="R24" i="6"/>
  <c r="T24" i="6"/>
  <c r="V24" i="6"/>
  <c r="W24" i="6"/>
  <c r="X24" i="6"/>
  <c r="X40" i="6" s="1"/>
  <c r="Y24" i="6"/>
  <c r="Z24" i="6"/>
  <c r="G28" i="6"/>
  <c r="I28" i="6" s="1"/>
  <c r="M28" i="6"/>
  <c r="O28" i="6"/>
  <c r="S28" i="6"/>
  <c r="U28" i="6" s="1"/>
  <c r="Y28" i="6"/>
  <c r="AA28" i="6"/>
  <c r="AB28" i="6"/>
  <c r="G29" i="6"/>
  <c r="I29" i="6"/>
  <c r="M29" i="6"/>
  <c r="O29" i="6"/>
  <c r="S29" i="6"/>
  <c r="U29" i="6"/>
  <c r="Y29" i="6"/>
  <c r="AA29" i="6"/>
  <c r="AB29" i="6" s="1"/>
  <c r="G30" i="6"/>
  <c r="I30" i="6"/>
  <c r="M30" i="6"/>
  <c r="O30" i="6" s="1"/>
  <c r="S30" i="6"/>
  <c r="U30" i="6"/>
  <c r="Y30" i="6"/>
  <c r="AA30" i="6" s="1"/>
  <c r="E31" i="6"/>
  <c r="E39" i="6" s="1"/>
  <c r="G31" i="6"/>
  <c r="I31" i="6" s="1"/>
  <c r="M31" i="6"/>
  <c r="O31" i="6"/>
  <c r="S31" i="6"/>
  <c r="U31" i="6" s="1"/>
  <c r="Y31" i="6"/>
  <c r="AA31" i="6"/>
  <c r="AB31" i="6"/>
  <c r="E32" i="6"/>
  <c r="F32" i="6"/>
  <c r="G32" i="6"/>
  <c r="I32" i="6"/>
  <c r="M32" i="6"/>
  <c r="O32" i="6"/>
  <c r="Q32" i="6"/>
  <c r="Q39" i="6" s="1"/>
  <c r="S32" i="6"/>
  <c r="U32" i="6" s="1"/>
  <c r="W32" i="6"/>
  <c r="Y32" i="6"/>
  <c r="AA32" i="6"/>
  <c r="AB32" i="6" s="1"/>
  <c r="G33" i="6"/>
  <c r="I33" i="6"/>
  <c r="M33" i="6"/>
  <c r="O33" i="6" s="1"/>
  <c r="S33" i="6"/>
  <c r="U33" i="6"/>
  <c r="Y33" i="6"/>
  <c r="AA33" i="6" s="1"/>
  <c r="G34" i="6"/>
  <c r="I34" i="6"/>
  <c r="M34" i="6"/>
  <c r="O34" i="6"/>
  <c r="S34" i="6"/>
  <c r="U34" i="6"/>
  <c r="Y34" i="6"/>
  <c r="AA34" i="6"/>
  <c r="AB34" i="6"/>
  <c r="F35" i="6"/>
  <c r="M35" i="6"/>
  <c r="O35" i="6"/>
  <c r="S35" i="6"/>
  <c r="U35" i="6"/>
  <c r="Y35" i="6"/>
  <c r="AA35" i="6"/>
  <c r="G36" i="6"/>
  <c r="I36" i="6"/>
  <c r="M36" i="6"/>
  <c r="O36" i="6" s="1"/>
  <c r="S36" i="6"/>
  <c r="U36" i="6"/>
  <c r="Y36" i="6"/>
  <c r="AA36" i="6" s="1"/>
  <c r="AB36" i="6" s="1"/>
  <c r="D37" i="6"/>
  <c r="F37" i="6"/>
  <c r="M37" i="6"/>
  <c r="O37" i="6"/>
  <c r="S37" i="6"/>
  <c r="U37" i="6"/>
  <c r="Y37" i="6"/>
  <c r="AA37" i="6"/>
  <c r="AB37" i="6" s="1"/>
  <c r="G38" i="6"/>
  <c r="I38" i="6"/>
  <c r="M38" i="6"/>
  <c r="O38" i="6" s="1"/>
  <c r="S38" i="6"/>
  <c r="U38" i="6"/>
  <c r="W38" i="6"/>
  <c r="D39" i="6"/>
  <c r="H39" i="6"/>
  <c r="J39" i="6"/>
  <c r="K39" i="6"/>
  <c r="L39" i="6"/>
  <c r="N39" i="6"/>
  <c r="P39" i="6"/>
  <c r="R39" i="6"/>
  <c r="T39" i="6"/>
  <c r="V39" i="6"/>
  <c r="X39" i="6"/>
  <c r="Z39" i="6"/>
  <c r="J40" i="6"/>
  <c r="K40" i="6"/>
  <c r="N40" i="6"/>
  <c r="R40" i="6"/>
  <c r="V40" i="6"/>
  <c r="Z40" i="6"/>
  <c r="D50" i="6"/>
  <c r="J50" i="6"/>
  <c r="K50" i="6"/>
  <c r="L50" i="6"/>
  <c r="P50" i="6"/>
  <c r="Q50" i="6"/>
  <c r="R50" i="6"/>
  <c r="V50" i="6"/>
  <c r="W50" i="6"/>
  <c r="X50" i="6"/>
  <c r="E51" i="6"/>
  <c r="G51" i="6"/>
  <c r="M51" i="6"/>
  <c r="S51" i="6"/>
  <c r="Y51" i="6"/>
  <c r="Y50" i="6" s="1"/>
  <c r="E52" i="6"/>
  <c r="G52" i="6" s="1"/>
  <c r="F52" i="6"/>
  <c r="F50" i="6" s="1"/>
  <c r="M52" i="6"/>
  <c r="M50" i="6" s="1"/>
  <c r="S52" i="6"/>
  <c r="Y52" i="6"/>
  <c r="G53" i="6"/>
  <c r="M53" i="6"/>
  <c r="S53" i="6"/>
  <c r="Y53" i="6"/>
  <c r="G54" i="6"/>
  <c r="M54" i="6"/>
  <c r="S54" i="6"/>
  <c r="Y54" i="6"/>
  <c r="G50" i="6" l="1"/>
  <c r="U39" i="6"/>
  <c r="U40" i="6" s="1"/>
  <c r="U41" i="6" s="1"/>
  <c r="G35" i="6"/>
  <c r="I35" i="6" s="1"/>
  <c r="I39" i="6" s="1"/>
  <c r="I40" i="6" s="1"/>
  <c r="I41" i="6" s="1"/>
  <c r="F39" i="6"/>
  <c r="F40" i="6" s="1"/>
  <c r="G39" i="6"/>
  <c r="T40" i="6"/>
  <c r="D40" i="6"/>
  <c r="Y38" i="6"/>
  <c r="AA38" i="6" s="1"/>
  <c r="AB38" i="6" s="1"/>
  <c r="W39" i="6"/>
  <c r="W40" i="6" s="1"/>
  <c r="AB35" i="6"/>
  <c r="O39" i="6"/>
  <c r="O40" i="6" s="1"/>
  <c r="O41" i="6" s="1"/>
  <c r="AB33" i="6"/>
  <c r="H40" i="6"/>
  <c r="AB23" i="6"/>
  <c r="AB16" i="6"/>
  <c r="S50" i="6"/>
  <c r="E50" i="6"/>
  <c r="S39" i="6"/>
  <c r="M39" i="6"/>
  <c r="M40" i="6" s="1"/>
  <c r="G37" i="6"/>
  <c r="I37" i="6" s="1"/>
  <c r="AB30" i="6"/>
  <c r="Q40" i="6"/>
  <c r="L40" i="6"/>
  <c r="AA24" i="6"/>
  <c r="S24" i="6"/>
  <c r="S40" i="6" s="1"/>
  <c r="G24" i="6"/>
  <c r="G40" i="6" s="1"/>
  <c r="AB24" i="6" l="1"/>
  <c r="AA39" i="6"/>
  <c r="AB39" i="6" s="1"/>
  <c r="Y39" i="6"/>
  <c r="Y40" i="6" s="1"/>
  <c r="AA40" i="6" l="1"/>
  <c r="AB40" i="6" l="1"/>
  <c r="AA41" i="6"/>
  <c r="AB41" i="6" s="1"/>
  <c r="G15" i="5" l="1"/>
  <c r="I15" i="5" s="1"/>
  <c r="M15" i="5"/>
  <c r="O15" i="5"/>
  <c r="S15" i="5"/>
  <c r="U15" i="5" s="1"/>
  <c r="U24" i="5" s="1"/>
  <c r="U40" i="5" s="1"/>
  <c r="U41" i="5" s="1"/>
  <c r="Y15" i="5"/>
  <c r="AA15" i="5"/>
  <c r="AB15" i="5" s="1"/>
  <c r="G16" i="5"/>
  <c r="I16" i="5"/>
  <c r="M16" i="5"/>
  <c r="O16" i="5" s="1"/>
  <c r="S16" i="5"/>
  <c r="U16" i="5"/>
  <c r="Y16" i="5"/>
  <c r="AA16" i="5" s="1"/>
  <c r="AB16" i="5" s="1"/>
  <c r="G17" i="5"/>
  <c r="I17" i="5"/>
  <c r="M17" i="5"/>
  <c r="O17" i="5" s="1"/>
  <c r="S17" i="5"/>
  <c r="U17" i="5"/>
  <c r="Y17" i="5"/>
  <c r="AA17" i="5" s="1"/>
  <c r="G18" i="5"/>
  <c r="I18" i="5" s="1"/>
  <c r="M18" i="5"/>
  <c r="O18" i="5"/>
  <c r="S18" i="5"/>
  <c r="U18" i="5" s="1"/>
  <c r="Y18" i="5"/>
  <c r="AA18" i="5"/>
  <c r="AB18" i="5"/>
  <c r="G19" i="5"/>
  <c r="I19" i="5" s="1"/>
  <c r="M19" i="5"/>
  <c r="O19" i="5"/>
  <c r="S19" i="5"/>
  <c r="U19" i="5" s="1"/>
  <c r="Y19" i="5"/>
  <c r="AA19" i="5"/>
  <c r="AB19" i="5" s="1"/>
  <c r="G20" i="5"/>
  <c r="I20" i="5" s="1"/>
  <c r="M20" i="5"/>
  <c r="O20" i="5" s="1"/>
  <c r="S20" i="5"/>
  <c r="U20" i="5"/>
  <c r="Y20" i="5"/>
  <c r="AA20" i="5" s="1"/>
  <c r="AB20" i="5" s="1"/>
  <c r="G21" i="5"/>
  <c r="I21" i="5"/>
  <c r="M21" i="5"/>
  <c r="O21" i="5"/>
  <c r="S21" i="5"/>
  <c r="U21" i="5"/>
  <c r="Y21" i="5"/>
  <c r="AA21" i="5"/>
  <c r="AB21" i="5" s="1"/>
  <c r="G22" i="5"/>
  <c r="I22" i="5" s="1"/>
  <c r="M22" i="5"/>
  <c r="O22" i="5"/>
  <c r="S22" i="5"/>
  <c r="U22" i="5" s="1"/>
  <c r="Y22" i="5"/>
  <c r="AA22" i="5"/>
  <c r="AB22" i="5"/>
  <c r="G23" i="5"/>
  <c r="I23" i="5" s="1"/>
  <c r="M23" i="5"/>
  <c r="O23" i="5"/>
  <c r="S23" i="5"/>
  <c r="U23" i="5" s="1"/>
  <c r="Y23" i="5"/>
  <c r="AA23" i="5"/>
  <c r="AB23" i="5" s="1"/>
  <c r="D24" i="5"/>
  <c r="E24" i="5"/>
  <c r="G24" i="5" s="1"/>
  <c r="G40" i="5" s="1"/>
  <c r="F24" i="5"/>
  <c r="H24" i="5"/>
  <c r="J24" i="5"/>
  <c r="M24" i="5" s="1"/>
  <c r="K24" i="5"/>
  <c r="L24" i="5"/>
  <c r="N24" i="5"/>
  <c r="P24" i="5"/>
  <c r="Q24" i="5"/>
  <c r="S24" i="5" s="1"/>
  <c r="S40" i="5" s="1"/>
  <c r="R24" i="5"/>
  <c r="T24" i="5"/>
  <c r="V24" i="5"/>
  <c r="Y24" i="5" s="1"/>
  <c r="W24" i="5"/>
  <c r="X24" i="5"/>
  <c r="Z24" i="5"/>
  <c r="G28" i="5"/>
  <c r="I28" i="5"/>
  <c r="M28" i="5"/>
  <c r="O28" i="5" s="1"/>
  <c r="S28" i="5"/>
  <c r="U28" i="5"/>
  <c r="V28" i="5"/>
  <c r="Y28" i="5" s="1"/>
  <c r="AA28" i="5" s="1"/>
  <c r="G29" i="5"/>
  <c r="I29" i="5"/>
  <c r="M29" i="5"/>
  <c r="O29" i="5"/>
  <c r="S29" i="5"/>
  <c r="U29" i="5"/>
  <c r="V29" i="5"/>
  <c r="Y29" i="5"/>
  <c r="AA29" i="5" s="1"/>
  <c r="AB29" i="5" s="1"/>
  <c r="G30" i="5"/>
  <c r="I30" i="5"/>
  <c r="M30" i="5"/>
  <c r="O30" i="5"/>
  <c r="S30" i="5"/>
  <c r="U30" i="5"/>
  <c r="Y30" i="5"/>
  <c r="AA30" i="5" s="1"/>
  <c r="AB30" i="5" s="1"/>
  <c r="G31" i="5"/>
  <c r="I31" i="5" s="1"/>
  <c r="M31" i="5"/>
  <c r="O31" i="5"/>
  <c r="S31" i="5"/>
  <c r="U31" i="5" s="1"/>
  <c r="V31" i="5"/>
  <c r="Y31" i="5"/>
  <c r="AA31" i="5"/>
  <c r="AB31" i="5" s="1"/>
  <c r="G32" i="5"/>
  <c r="I32" i="5"/>
  <c r="M32" i="5"/>
  <c r="O32" i="5" s="1"/>
  <c r="S32" i="5"/>
  <c r="U32" i="5"/>
  <c r="V32" i="5"/>
  <c r="Y32" i="5" s="1"/>
  <c r="AA32" i="5" s="1"/>
  <c r="G33" i="5"/>
  <c r="I33" i="5" s="1"/>
  <c r="M33" i="5"/>
  <c r="O33" i="5"/>
  <c r="S33" i="5"/>
  <c r="U33" i="5" s="1"/>
  <c r="Y33" i="5"/>
  <c r="AA33" i="5"/>
  <c r="AB33" i="5"/>
  <c r="G34" i="5"/>
  <c r="I34" i="5" s="1"/>
  <c r="M34" i="5"/>
  <c r="O34" i="5"/>
  <c r="S34" i="5"/>
  <c r="U34" i="5" s="1"/>
  <c r="Y34" i="5"/>
  <c r="AA34" i="5"/>
  <c r="AB34" i="5" s="1"/>
  <c r="G35" i="5"/>
  <c r="I35" i="5"/>
  <c r="M35" i="5"/>
  <c r="O35" i="5" s="1"/>
  <c r="S35" i="5"/>
  <c r="U35" i="5"/>
  <c r="V35" i="5"/>
  <c r="Y35" i="5" s="1"/>
  <c r="AA35" i="5" s="1"/>
  <c r="G36" i="5"/>
  <c r="I36" i="5" s="1"/>
  <c r="I39" i="5" s="1"/>
  <c r="M36" i="5"/>
  <c r="O36" i="5" s="1"/>
  <c r="S36" i="5"/>
  <c r="U36" i="5" s="1"/>
  <c r="U39" i="5" s="1"/>
  <c r="Y36" i="5"/>
  <c r="AA36" i="5" s="1"/>
  <c r="G37" i="5"/>
  <c r="I37" i="5"/>
  <c r="M37" i="5"/>
  <c r="O37" i="5"/>
  <c r="S37" i="5"/>
  <c r="U37" i="5"/>
  <c r="V37" i="5"/>
  <c r="Y37" i="5"/>
  <c r="AA37" i="5" s="1"/>
  <c r="AB37" i="5" s="1"/>
  <c r="G38" i="5"/>
  <c r="I38" i="5"/>
  <c r="M38" i="5"/>
  <c r="O38" i="5"/>
  <c r="S38" i="5"/>
  <c r="U38" i="5"/>
  <c r="V38" i="5"/>
  <c r="Y38" i="5"/>
  <c r="AA38" i="5"/>
  <c r="AB38" i="5"/>
  <c r="D39" i="5"/>
  <c r="E39" i="5"/>
  <c r="F39" i="5"/>
  <c r="G39" i="5"/>
  <c r="H39" i="5"/>
  <c r="J39" i="5"/>
  <c r="K39" i="5"/>
  <c r="K40" i="5" s="1"/>
  <c r="L39" i="5"/>
  <c r="N39" i="5"/>
  <c r="P39" i="5"/>
  <c r="Q39" i="5"/>
  <c r="R39" i="5"/>
  <c r="S39" i="5"/>
  <c r="T39" i="5"/>
  <c r="W39" i="5"/>
  <c r="W40" i="5" s="1"/>
  <c r="X39" i="5"/>
  <c r="Z39" i="5"/>
  <c r="D40" i="5"/>
  <c r="E40" i="5"/>
  <c r="F40" i="5"/>
  <c r="H40" i="5"/>
  <c r="J40" i="5"/>
  <c r="L40" i="5"/>
  <c r="N40" i="5"/>
  <c r="P40" i="5"/>
  <c r="Q40" i="5"/>
  <c r="R40" i="5"/>
  <c r="T40" i="5"/>
  <c r="X40" i="5"/>
  <c r="Z40" i="5"/>
  <c r="G50" i="5"/>
  <c r="M50" i="5"/>
  <c r="S50" i="5"/>
  <c r="Y50" i="5"/>
  <c r="G51" i="5"/>
  <c r="M51" i="5"/>
  <c r="S51" i="5"/>
  <c r="Y51" i="5"/>
  <c r="G52" i="5"/>
  <c r="M52" i="5"/>
  <c r="S52" i="5"/>
  <c r="Y52" i="5"/>
  <c r="G53" i="5"/>
  <c r="M53" i="5"/>
  <c r="S53" i="5"/>
  <c r="Y53" i="5"/>
  <c r="G54" i="5"/>
  <c r="M54" i="5"/>
  <c r="S54" i="5"/>
  <c r="W54" i="5"/>
  <c r="Y54" i="5"/>
  <c r="O39" i="5" l="1"/>
  <c r="AB32" i="5"/>
  <c r="AB28" i="5"/>
  <c r="O24" i="5"/>
  <c r="O40" i="5" s="1"/>
  <c r="O41" i="5" s="1"/>
  <c r="AB36" i="5"/>
  <c r="AA39" i="5"/>
  <c r="AB39" i="5" s="1"/>
  <c r="AB35" i="5"/>
  <c r="AB17" i="5"/>
  <c r="I24" i="5"/>
  <c r="I40" i="5" s="1"/>
  <c r="I41" i="5" s="1"/>
  <c r="V39" i="5"/>
  <c r="M39" i="5"/>
  <c r="M40" i="5" s="1"/>
  <c r="AA24" i="5"/>
  <c r="Y39" i="5" l="1"/>
  <c r="Y40" i="5" s="1"/>
  <c r="V40" i="5"/>
  <c r="AA40" i="5"/>
  <c r="AB24" i="5"/>
  <c r="AB40" i="5" l="1"/>
  <c r="AA41" i="5"/>
  <c r="AB41" i="5" s="1"/>
  <c r="G15" i="4" l="1"/>
  <c r="I15" i="4" s="1"/>
  <c r="M15" i="4"/>
  <c r="O15" i="4"/>
  <c r="S15" i="4"/>
  <c r="U15" i="4" s="1"/>
  <c r="Y15" i="4"/>
  <c r="AA15" i="4"/>
  <c r="AB15" i="4"/>
  <c r="G16" i="4"/>
  <c r="I16" i="4" s="1"/>
  <c r="M16" i="4"/>
  <c r="O16" i="4"/>
  <c r="S16" i="4"/>
  <c r="U16" i="4" s="1"/>
  <c r="Y16" i="4"/>
  <c r="AA16" i="4"/>
  <c r="AB16" i="4" s="1"/>
  <c r="G17" i="4"/>
  <c r="I17" i="4"/>
  <c r="M17" i="4"/>
  <c r="O17" i="4" s="1"/>
  <c r="O24" i="4" s="1"/>
  <c r="S17" i="4"/>
  <c r="U17" i="4"/>
  <c r="Y17" i="4"/>
  <c r="AA17" i="4" s="1"/>
  <c r="G18" i="4"/>
  <c r="I18" i="4"/>
  <c r="M18" i="4"/>
  <c r="O18" i="4" s="1"/>
  <c r="S18" i="4"/>
  <c r="U18" i="4"/>
  <c r="Y18" i="4"/>
  <c r="AA18" i="4" s="1"/>
  <c r="AB18" i="4" s="1"/>
  <c r="G19" i="4"/>
  <c r="I19" i="4" s="1"/>
  <c r="M19" i="4"/>
  <c r="O19" i="4"/>
  <c r="S19" i="4"/>
  <c r="U19" i="4" s="1"/>
  <c r="Y19" i="4"/>
  <c r="AA19" i="4"/>
  <c r="AB19" i="4"/>
  <c r="G20" i="4"/>
  <c r="I20" i="4" s="1"/>
  <c r="M20" i="4"/>
  <c r="O20" i="4"/>
  <c r="S20" i="4"/>
  <c r="U20" i="4" s="1"/>
  <c r="Y20" i="4"/>
  <c r="AA20" i="4"/>
  <c r="AB20" i="4" s="1"/>
  <c r="G21" i="4"/>
  <c r="I21" i="4"/>
  <c r="M21" i="4"/>
  <c r="O21" i="4" s="1"/>
  <c r="S21" i="4"/>
  <c r="U21" i="4"/>
  <c r="Y21" i="4"/>
  <c r="AA21" i="4" s="1"/>
  <c r="AB21" i="4" s="1"/>
  <c r="G22" i="4"/>
  <c r="I22" i="4"/>
  <c r="M22" i="4"/>
  <c r="O22" i="4" s="1"/>
  <c r="S22" i="4"/>
  <c r="U22" i="4"/>
  <c r="Y22" i="4"/>
  <c r="AA22" i="4" s="1"/>
  <c r="G23" i="4"/>
  <c r="I23" i="4" s="1"/>
  <c r="M23" i="4"/>
  <c r="O23" i="4"/>
  <c r="S23" i="4"/>
  <c r="U23" i="4" s="1"/>
  <c r="Y23" i="4"/>
  <c r="AA23" i="4"/>
  <c r="AB23" i="4"/>
  <c r="D24" i="4"/>
  <c r="E24" i="4"/>
  <c r="F24" i="4"/>
  <c r="F40" i="4" s="1"/>
  <c r="G24" i="4"/>
  <c r="H24" i="4"/>
  <c r="J24" i="4"/>
  <c r="M24" i="4" s="1"/>
  <c r="M40" i="4" s="1"/>
  <c r="K24" i="4"/>
  <c r="K40" i="4" s="1"/>
  <c r="L24" i="4"/>
  <c r="N24" i="4"/>
  <c r="N40" i="4" s="1"/>
  <c r="P24" i="4"/>
  <c r="Q24" i="4"/>
  <c r="R24" i="4"/>
  <c r="R40" i="4" s="1"/>
  <c r="S24" i="4"/>
  <c r="T24" i="4"/>
  <c r="V24" i="4"/>
  <c r="Y24" i="4" s="1"/>
  <c r="W24" i="4"/>
  <c r="X24" i="4"/>
  <c r="Z24" i="4"/>
  <c r="Z40" i="4" s="1"/>
  <c r="G28" i="4"/>
  <c r="I28" i="4"/>
  <c r="M28" i="4"/>
  <c r="O28" i="4" s="1"/>
  <c r="S28" i="4"/>
  <c r="U28" i="4"/>
  <c r="Y28" i="4"/>
  <c r="AA28" i="4" s="1"/>
  <c r="AB28" i="4" s="1"/>
  <c r="G29" i="4"/>
  <c r="I29" i="4"/>
  <c r="M29" i="4"/>
  <c r="O29" i="4" s="1"/>
  <c r="S29" i="4"/>
  <c r="U29" i="4"/>
  <c r="Y29" i="4"/>
  <c r="AA29" i="4" s="1"/>
  <c r="G30" i="4"/>
  <c r="I30" i="4" s="1"/>
  <c r="M30" i="4"/>
  <c r="O30" i="4"/>
  <c r="S30" i="4"/>
  <c r="U30" i="4" s="1"/>
  <c r="Y30" i="4"/>
  <c r="AA30" i="4"/>
  <c r="AB30" i="4"/>
  <c r="G31" i="4"/>
  <c r="I31" i="4" s="1"/>
  <c r="M31" i="4"/>
  <c r="O31" i="4"/>
  <c r="S31" i="4"/>
  <c r="U31" i="4" s="1"/>
  <c r="Y31" i="4"/>
  <c r="AA31" i="4"/>
  <c r="AB31" i="4" s="1"/>
  <c r="G32" i="4"/>
  <c r="I32" i="4"/>
  <c r="M32" i="4"/>
  <c r="O32" i="4" s="1"/>
  <c r="S32" i="4"/>
  <c r="U32" i="4"/>
  <c r="V32" i="4"/>
  <c r="Y32" i="4" s="1"/>
  <c r="AA32" i="4" s="1"/>
  <c r="W32" i="4"/>
  <c r="W39" i="4" s="1"/>
  <c r="Y39" i="4" s="1"/>
  <c r="G33" i="4"/>
  <c r="I33" i="4" s="1"/>
  <c r="M33" i="4"/>
  <c r="O33" i="4"/>
  <c r="S33" i="4"/>
  <c r="U33" i="4" s="1"/>
  <c r="Y33" i="4"/>
  <c r="AA33" i="4"/>
  <c r="AB33" i="4" s="1"/>
  <c r="G34" i="4"/>
  <c r="I34" i="4"/>
  <c r="M34" i="4"/>
  <c r="O34" i="4" s="1"/>
  <c r="S34" i="4"/>
  <c r="U34" i="4"/>
  <c r="Y34" i="4"/>
  <c r="AA34" i="4" s="1"/>
  <c r="G35" i="4"/>
  <c r="I35" i="4"/>
  <c r="M35" i="4"/>
  <c r="O35" i="4" s="1"/>
  <c r="S35" i="4"/>
  <c r="U35" i="4"/>
  <c r="Y35" i="4"/>
  <c r="AA35" i="4" s="1"/>
  <c r="G36" i="4"/>
  <c r="I36" i="4" s="1"/>
  <c r="I39" i="4" s="1"/>
  <c r="M36" i="4"/>
  <c r="O36" i="4"/>
  <c r="S36" i="4"/>
  <c r="U36" i="4" s="1"/>
  <c r="Y36" i="4"/>
  <c r="AA36" i="4"/>
  <c r="AB36" i="4"/>
  <c r="G37" i="4"/>
  <c r="I37" i="4" s="1"/>
  <c r="M37" i="4"/>
  <c r="O37" i="4"/>
  <c r="S37" i="4"/>
  <c r="U37" i="4" s="1"/>
  <c r="Y37" i="4"/>
  <c r="AA37" i="4"/>
  <c r="AB37" i="4" s="1"/>
  <c r="G38" i="4"/>
  <c r="I38" i="4"/>
  <c r="M38" i="4"/>
  <c r="O38" i="4" s="1"/>
  <c r="S38" i="4"/>
  <c r="U38" i="4"/>
  <c r="Y38" i="4"/>
  <c r="AA38" i="4" s="1"/>
  <c r="AB38" i="4" s="1"/>
  <c r="D39" i="4"/>
  <c r="G39" i="4" s="1"/>
  <c r="E39" i="4"/>
  <c r="E40" i="4" s="1"/>
  <c r="F39" i="4"/>
  <c r="H39" i="4"/>
  <c r="J39" i="4"/>
  <c r="K39" i="4"/>
  <c r="L39" i="4"/>
  <c r="M39" i="4"/>
  <c r="N39" i="4"/>
  <c r="P39" i="4"/>
  <c r="S39" i="4" s="1"/>
  <c r="Q39" i="4"/>
  <c r="Q40" i="4" s="1"/>
  <c r="R39" i="4"/>
  <c r="T39" i="4"/>
  <c r="V39" i="4"/>
  <c r="X39" i="4"/>
  <c r="Z39" i="4"/>
  <c r="D40" i="4"/>
  <c r="H40" i="4"/>
  <c r="L40" i="4"/>
  <c r="P40" i="4"/>
  <c r="T40" i="4"/>
  <c r="X40" i="4"/>
  <c r="D50" i="4"/>
  <c r="E50" i="4"/>
  <c r="F50" i="4"/>
  <c r="G50" i="4" s="1"/>
  <c r="J50" i="4"/>
  <c r="K50" i="4"/>
  <c r="L50" i="4"/>
  <c r="M50" i="4" s="1"/>
  <c r="P50" i="4"/>
  <c r="Q50" i="4"/>
  <c r="R50" i="4"/>
  <c r="S50" i="4" s="1"/>
  <c r="V50" i="4"/>
  <c r="Y50" i="4"/>
  <c r="G51" i="4"/>
  <c r="M51" i="4"/>
  <c r="S51" i="4"/>
  <c r="Y51" i="4"/>
  <c r="G52" i="4"/>
  <c r="M52" i="4"/>
  <c r="S52" i="4"/>
  <c r="Y52" i="4"/>
  <c r="G53" i="4"/>
  <c r="M53" i="4"/>
  <c r="S53" i="4"/>
  <c r="Y53" i="4"/>
  <c r="G54" i="4"/>
  <c r="M54" i="4"/>
  <c r="S54" i="4"/>
  <c r="Y54" i="4"/>
  <c r="Y40" i="4" l="1"/>
  <c r="U24" i="4"/>
  <c r="AB34" i="4"/>
  <c r="AB29" i="4"/>
  <c r="AA24" i="4"/>
  <c r="AB17" i="4"/>
  <c r="O39" i="4"/>
  <c r="O40" i="4" s="1"/>
  <c r="O41" i="4" s="1"/>
  <c r="AB32" i="4"/>
  <c r="S40" i="4"/>
  <c r="AB22" i="4"/>
  <c r="U39" i="4"/>
  <c r="AA39" i="4"/>
  <c r="AB35" i="4"/>
  <c r="W40" i="4"/>
  <c r="G40" i="4"/>
  <c r="I24" i="4"/>
  <c r="I40" i="4" s="1"/>
  <c r="I41" i="4" s="1"/>
  <c r="V40" i="4"/>
  <c r="J40" i="4"/>
  <c r="U40" i="4" l="1"/>
  <c r="U41" i="4" s="1"/>
  <c r="AB24" i="4"/>
  <c r="AA40" i="4"/>
  <c r="AB39" i="4"/>
  <c r="AA41" i="4" l="1"/>
  <c r="AB41" i="4" s="1"/>
  <c r="AB40" i="4"/>
  <c r="G15" i="3" l="1"/>
  <c r="I15" i="3"/>
  <c r="M15" i="3"/>
  <c r="O15" i="3"/>
  <c r="O24" i="3" s="1"/>
  <c r="S15" i="3"/>
  <c r="U15" i="3"/>
  <c r="Y15" i="3"/>
  <c r="AA15" i="3"/>
  <c r="AB15" i="3" s="1"/>
  <c r="I16" i="3"/>
  <c r="M16" i="3"/>
  <c r="O16" i="3"/>
  <c r="S16" i="3"/>
  <c r="U16" i="3"/>
  <c r="Y16" i="3"/>
  <c r="AA16" i="3"/>
  <c r="AB16" i="3" s="1"/>
  <c r="G17" i="3"/>
  <c r="I17" i="3" s="1"/>
  <c r="M17" i="3"/>
  <c r="O17" i="3" s="1"/>
  <c r="S17" i="3"/>
  <c r="U17" i="3" s="1"/>
  <c r="Y17" i="3"/>
  <c r="AA17" i="3" s="1"/>
  <c r="AB17" i="3" s="1"/>
  <c r="G18" i="3"/>
  <c r="I18" i="3"/>
  <c r="M18" i="3"/>
  <c r="O18" i="3"/>
  <c r="S18" i="3"/>
  <c r="U18" i="3"/>
  <c r="Y18" i="3"/>
  <c r="AA18" i="3"/>
  <c r="AB18" i="3" s="1"/>
  <c r="G19" i="3"/>
  <c r="I19" i="3" s="1"/>
  <c r="M19" i="3"/>
  <c r="O19" i="3" s="1"/>
  <c r="S19" i="3"/>
  <c r="U19" i="3" s="1"/>
  <c r="Y19" i="3"/>
  <c r="AA19" i="3" s="1"/>
  <c r="AB19" i="3" s="1"/>
  <c r="I20" i="3"/>
  <c r="M20" i="3"/>
  <c r="O20" i="3" s="1"/>
  <c r="S20" i="3"/>
  <c r="U20" i="3" s="1"/>
  <c r="Y20" i="3"/>
  <c r="AA20" i="3" s="1"/>
  <c r="AB20" i="3" s="1"/>
  <c r="G21" i="3"/>
  <c r="I21" i="3"/>
  <c r="M21" i="3"/>
  <c r="O21" i="3"/>
  <c r="S21" i="3"/>
  <c r="U21" i="3"/>
  <c r="Y21" i="3"/>
  <c r="AA21" i="3"/>
  <c r="AB21" i="3" s="1"/>
  <c r="G22" i="3"/>
  <c r="I22" i="3" s="1"/>
  <c r="M22" i="3"/>
  <c r="O22" i="3" s="1"/>
  <c r="S22" i="3"/>
  <c r="U22" i="3" s="1"/>
  <c r="Y22" i="3"/>
  <c r="AA22" i="3" s="1"/>
  <c r="AB22" i="3" s="1"/>
  <c r="G23" i="3"/>
  <c r="I23" i="3"/>
  <c r="M23" i="3"/>
  <c r="O23" i="3"/>
  <c r="S23" i="3"/>
  <c r="U23" i="3"/>
  <c r="Y23" i="3"/>
  <c r="AA23" i="3"/>
  <c r="AB23" i="3" s="1"/>
  <c r="D24" i="3"/>
  <c r="G24" i="3" s="1"/>
  <c r="E24" i="3"/>
  <c r="F24" i="3"/>
  <c r="H24" i="3"/>
  <c r="J24" i="3"/>
  <c r="M24" i="3" s="1"/>
  <c r="M42" i="3" s="1"/>
  <c r="K24" i="3"/>
  <c r="L24" i="3"/>
  <c r="N24" i="3"/>
  <c r="P24" i="3"/>
  <c r="S24" i="3" s="1"/>
  <c r="Q24" i="3"/>
  <c r="R24" i="3"/>
  <c r="T24" i="3"/>
  <c r="V24" i="3"/>
  <c r="Y24" i="3" s="1"/>
  <c r="Y42" i="3" s="1"/>
  <c r="W24" i="3"/>
  <c r="X24" i="3"/>
  <c r="Z24" i="3"/>
  <c r="G28" i="3"/>
  <c r="I28" i="3"/>
  <c r="M28" i="3"/>
  <c r="O28" i="3"/>
  <c r="S28" i="3"/>
  <c r="U28" i="3"/>
  <c r="Y28" i="3"/>
  <c r="AA28" i="3"/>
  <c r="AB28" i="3" s="1"/>
  <c r="G29" i="3"/>
  <c r="I29" i="3" s="1"/>
  <c r="M29" i="3"/>
  <c r="O29" i="3" s="1"/>
  <c r="S29" i="3"/>
  <c r="U29" i="3" s="1"/>
  <c r="Y29" i="3"/>
  <c r="AA29" i="3" s="1"/>
  <c r="AB29" i="3" s="1"/>
  <c r="G30" i="3"/>
  <c r="I30" i="3"/>
  <c r="M30" i="3"/>
  <c r="O30" i="3"/>
  <c r="S30" i="3"/>
  <c r="U30" i="3"/>
  <c r="Y30" i="3"/>
  <c r="AA30" i="3"/>
  <c r="AB30" i="3" s="1"/>
  <c r="G31" i="3"/>
  <c r="I31" i="3" s="1"/>
  <c r="S31" i="3"/>
  <c r="U31" i="3" s="1"/>
  <c r="Y31" i="3"/>
  <c r="AA31" i="3" s="1"/>
  <c r="G32" i="3"/>
  <c r="I32" i="3" s="1"/>
  <c r="M32" i="3"/>
  <c r="O32" i="3" s="1"/>
  <c r="S32" i="3"/>
  <c r="U32" i="3" s="1"/>
  <c r="Y32" i="3"/>
  <c r="AA32" i="3" s="1"/>
  <c r="G33" i="3"/>
  <c r="I33" i="3"/>
  <c r="M33" i="3"/>
  <c r="O33" i="3"/>
  <c r="S33" i="3"/>
  <c r="U33" i="3"/>
  <c r="Y33" i="3"/>
  <c r="AA33" i="3"/>
  <c r="AB33" i="3" s="1"/>
  <c r="G34" i="3"/>
  <c r="I34" i="3" s="1"/>
  <c r="M34" i="3"/>
  <c r="O34" i="3" s="1"/>
  <c r="S34" i="3"/>
  <c r="U34" i="3" s="1"/>
  <c r="Y34" i="3"/>
  <c r="AA34" i="3" s="1"/>
  <c r="G35" i="3"/>
  <c r="I35" i="3"/>
  <c r="M35" i="3"/>
  <c r="O35" i="3"/>
  <c r="S35" i="3"/>
  <c r="U35" i="3"/>
  <c r="Y35" i="3"/>
  <c r="AA35" i="3"/>
  <c r="AB35" i="3" s="1"/>
  <c r="G36" i="3"/>
  <c r="I36" i="3" s="1"/>
  <c r="M36" i="3"/>
  <c r="O36" i="3" s="1"/>
  <c r="S36" i="3"/>
  <c r="U36" i="3" s="1"/>
  <c r="Y36" i="3"/>
  <c r="AA36" i="3" s="1"/>
  <c r="G37" i="3"/>
  <c r="I37" i="3"/>
  <c r="M37" i="3"/>
  <c r="O37" i="3"/>
  <c r="S37" i="3"/>
  <c r="U37" i="3"/>
  <c r="Y37" i="3"/>
  <c r="AA37" i="3"/>
  <c r="AB37" i="3" s="1"/>
  <c r="G38" i="3"/>
  <c r="I38" i="3" s="1"/>
  <c r="M38" i="3"/>
  <c r="O38" i="3" s="1"/>
  <c r="S38" i="3"/>
  <c r="U38" i="3" s="1"/>
  <c r="Y38" i="3"/>
  <c r="AA38" i="3" s="1"/>
  <c r="G39" i="3"/>
  <c r="I39" i="3"/>
  <c r="M39" i="3"/>
  <c r="O39" i="3"/>
  <c r="S39" i="3"/>
  <c r="U39" i="3"/>
  <c r="Y39" i="3"/>
  <c r="AA39" i="3"/>
  <c r="AB39" i="3" s="1"/>
  <c r="G40" i="3"/>
  <c r="I40" i="3" s="1"/>
  <c r="M40" i="3"/>
  <c r="O40" i="3" s="1"/>
  <c r="S40" i="3"/>
  <c r="U40" i="3" s="1"/>
  <c r="Y40" i="3"/>
  <c r="AA40" i="3" s="1"/>
  <c r="D41" i="3"/>
  <c r="E41" i="3"/>
  <c r="E42" i="3" s="1"/>
  <c r="F41" i="3"/>
  <c r="H41" i="3"/>
  <c r="J41" i="3"/>
  <c r="K41" i="3"/>
  <c r="K42" i="3" s="1"/>
  <c r="L41" i="3"/>
  <c r="M41" i="3"/>
  <c r="N41" i="3"/>
  <c r="P41" i="3"/>
  <c r="Q41" i="3"/>
  <c r="Q42" i="3" s="1"/>
  <c r="R41" i="3"/>
  <c r="T41" i="3"/>
  <c r="V41" i="3"/>
  <c r="W41" i="3"/>
  <c r="W42" i="3" s="1"/>
  <c r="X41" i="3"/>
  <c r="Y41" i="3"/>
  <c r="Z41" i="3"/>
  <c r="D42" i="3"/>
  <c r="F42" i="3"/>
  <c r="H42" i="3"/>
  <c r="J42" i="3"/>
  <c r="L42" i="3"/>
  <c r="N42" i="3"/>
  <c r="P42" i="3"/>
  <c r="R42" i="3"/>
  <c r="T42" i="3"/>
  <c r="V42" i="3"/>
  <c r="X42" i="3"/>
  <c r="Z42" i="3"/>
  <c r="G52" i="3"/>
  <c r="M52" i="3"/>
  <c r="S52" i="3"/>
  <c r="Y52" i="3"/>
  <c r="G53" i="3"/>
  <c r="M53" i="3"/>
  <c r="S53" i="3"/>
  <c r="Y53" i="3"/>
  <c r="G54" i="3"/>
  <c r="M54" i="3"/>
  <c r="S54" i="3"/>
  <c r="Y54" i="3"/>
  <c r="G55" i="3"/>
  <c r="M55" i="3"/>
  <c r="S55" i="3"/>
  <c r="Y55" i="3"/>
  <c r="G56" i="3"/>
  <c r="M56" i="3"/>
  <c r="S56" i="3"/>
  <c r="Y56" i="3"/>
  <c r="I41" i="3" l="1"/>
  <c r="AB40" i="3"/>
  <c r="AB38" i="3"/>
  <c r="AA41" i="3"/>
  <c r="AB41" i="3" s="1"/>
  <c r="AB36" i="3"/>
  <c r="AB34" i="3"/>
  <c r="AB32" i="3"/>
  <c r="U24" i="3"/>
  <c r="U42" i="3" s="1"/>
  <c r="U43" i="3" s="1"/>
  <c r="I24" i="3"/>
  <c r="I42" i="3" s="1"/>
  <c r="I43" i="3" s="1"/>
  <c r="O41" i="3"/>
  <c r="O42" i="3" s="1"/>
  <c r="O43" i="3" s="1"/>
  <c r="U41" i="3"/>
  <c r="AA24" i="3"/>
  <c r="S41" i="3"/>
  <c r="S42" i="3" s="1"/>
  <c r="G41" i="3"/>
  <c r="G42" i="3" s="1"/>
  <c r="AA42" i="3" l="1"/>
  <c r="AB24" i="3"/>
  <c r="AA43" i="3" l="1"/>
  <c r="AB43" i="3" s="1"/>
  <c r="AB42" i="3"/>
  <c r="G15" i="2" l="1"/>
  <c r="I15" i="2"/>
  <c r="M15" i="2"/>
  <c r="O15" i="2"/>
  <c r="R15" i="2"/>
  <c r="R24" i="2" s="1"/>
  <c r="R40" i="2" s="1"/>
  <c r="S15" i="2"/>
  <c r="U15" i="2" s="1"/>
  <c r="Y15" i="2"/>
  <c r="AA15" i="2"/>
  <c r="AA24" i="2" s="1"/>
  <c r="AB15" i="2"/>
  <c r="G16" i="2"/>
  <c r="I16" i="2"/>
  <c r="M16" i="2"/>
  <c r="O16" i="2"/>
  <c r="S16" i="2"/>
  <c r="U16" i="2"/>
  <c r="Y16" i="2"/>
  <c r="AA16" i="2"/>
  <c r="AB16" i="2" s="1"/>
  <c r="G17" i="2"/>
  <c r="I17" i="2"/>
  <c r="M17" i="2"/>
  <c r="O17" i="2" s="1"/>
  <c r="S17" i="2"/>
  <c r="U17" i="2"/>
  <c r="Y17" i="2"/>
  <c r="AA17" i="2" s="1"/>
  <c r="G18" i="2"/>
  <c r="I18" i="2"/>
  <c r="M18" i="2"/>
  <c r="O18" i="2"/>
  <c r="S18" i="2"/>
  <c r="U18" i="2"/>
  <c r="Y18" i="2"/>
  <c r="AA18" i="2"/>
  <c r="AB18" i="2"/>
  <c r="G19" i="2"/>
  <c r="I19" i="2" s="1"/>
  <c r="I24" i="2" s="1"/>
  <c r="M19" i="2"/>
  <c r="O19" i="2"/>
  <c r="S19" i="2"/>
  <c r="U19" i="2" s="1"/>
  <c r="Y19" i="2"/>
  <c r="AA19" i="2"/>
  <c r="AB19" i="2"/>
  <c r="M20" i="2"/>
  <c r="O20" i="2"/>
  <c r="S20" i="2"/>
  <c r="U20" i="2"/>
  <c r="Y20" i="2"/>
  <c r="AA20" i="2"/>
  <c r="AB20" i="2"/>
  <c r="G21" i="2"/>
  <c r="I21" i="2" s="1"/>
  <c r="O21" i="2"/>
  <c r="S21" i="2"/>
  <c r="U21" i="2"/>
  <c r="AA21" i="2"/>
  <c r="AB21" i="2"/>
  <c r="G22" i="2"/>
  <c r="I22" i="2"/>
  <c r="O22" i="2"/>
  <c r="S22" i="2"/>
  <c r="U22" i="2"/>
  <c r="AA22" i="2"/>
  <c r="AB22" i="2" s="1"/>
  <c r="G23" i="2"/>
  <c r="I23" i="2"/>
  <c r="M23" i="2"/>
  <c r="O23" i="2" s="1"/>
  <c r="S23" i="2"/>
  <c r="U23" i="2"/>
  <c r="Y23" i="2"/>
  <c r="AA23" i="2" s="1"/>
  <c r="AB23" i="2" s="1"/>
  <c r="D24" i="2"/>
  <c r="G24" i="2" s="1"/>
  <c r="E24" i="2"/>
  <c r="F24" i="2"/>
  <c r="H24" i="2"/>
  <c r="J24" i="2"/>
  <c r="K24" i="2"/>
  <c r="L24" i="2"/>
  <c r="M24" i="2"/>
  <c r="M40" i="2" s="1"/>
  <c r="N24" i="2"/>
  <c r="P24" i="2"/>
  <c r="S24" i="2" s="1"/>
  <c r="Q24" i="2"/>
  <c r="T24" i="2"/>
  <c r="V24" i="2"/>
  <c r="W24" i="2"/>
  <c r="X24" i="2"/>
  <c r="Y24" i="2"/>
  <c r="Z24" i="2"/>
  <c r="G28" i="2"/>
  <c r="I28" i="2" s="1"/>
  <c r="M28" i="2"/>
  <c r="O28" i="2"/>
  <c r="S28" i="2"/>
  <c r="U28" i="2" s="1"/>
  <c r="Y28" i="2"/>
  <c r="AA28" i="2"/>
  <c r="AB28" i="2"/>
  <c r="G29" i="2"/>
  <c r="I29" i="2"/>
  <c r="M29" i="2"/>
  <c r="O29" i="2"/>
  <c r="S29" i="2"/>
  <c r="U29" i="2"/>
  <c r="Y29" i="2"/>
  <c r="AA29" i="2"/>
  <c r="AB29" i="2" s="1"/>
  <c r="D30" i="2"/>
  <c r="F30" i="2"/>
  <c r="F39" i="2" s="1"/>
  <c r="F40" i="2" s="1"/>
  <c r="G30" i="2"/>
  <c r="I30" i="2" s="1"/>
  <c r="M30" i="2"/>
  <c r="O30" i="2"/>
  <c r="S30" i="2"/>
  <c r="U30" i="2" s="1"/>
  <c r="Y30" i="2"/>
  <c r="AA30" i="2"/>
  <c r="AB30" i="2"/>
  <c r="G31" i="2"/>
  <c r="I31" i="2"/>
  <c r="M31" i="2"/>
  <c r="O31" i="2"/>
  <c r="S31" i="2"/>
  <c r="U31" i="2"/>
  <c r="Y31" i="2"/>
  <c r="AA31" i="2"/>
  <c r="AB31" i="2" s="1"/>
  <c r="D32" i="2"/>
  <c r="F32" i="2"/>
  <c r="O32" i="2"/>
  <c r="P32" i="2"/>
  <c r="W32" i="2"/>
  <c r="Y32" i="2" s="1"/>
  <c r="AA32" i="2" s="1"/>
  <c r="AB32" i="2" s="1"/>
  <c r="D33" i="2"/>
  <c r="G33" i="2" s="1"/>
  <c r="I33" i="2" s="1"/>
  <c r="E33" i="2"/>
  <c r="O33" i="2"/>
  <c r="Q33" i="2"/>
  <c r="S33" i="2"/>
  <c r="U33" i="2"/>
  <c r="Y33" i="2"/>
  <c r="AA33" i="2" s="1"/>
  <c r="AB33" i="2" s="1"/>
  <c r="E34" i="2"/>
  <c r="E32" i="2" s="1"/>
  <c r="E39" i="2" s="1"/>
  <c r="G34" i="2"/>
  <c r="I34" i="2" s="1"/>
  <c r="M34" i="2"/>
  <c r="O34" i="2"/>
  <c r="Q34" i="2"/>
  <c r="Q32" i="2" s="1"/>
  <c r="Q39" i="2" s="1"/>
  <c r="Y34" i="2"/>
  <c r="AA34" i="2"/>
  <c r="AB34" i="2" s="1"/>
  <c r="G35" i="2"/>
  <c r="I35" i="2"/>
  <c r="M35" i="2"/>
  <c r="O35" i="2" s="1"/>
  <c r="Q35" i="2"/>
  <c r="S35" i="2"/>
  <c r="U35" i="2"/>
  <c r="Y35" i="2"/>
  <c r="AA35" i="2"/>
  <c r="G36" i="2"/>
  <c r="I36" i="2" s="1"/>
  <c r="M36" i="2"/>
  <c r="O36" i="2"/>
  <c r="S36" i="2"/>
  <c r="U36" i="2" s="1"/>
  <c r="Y36" i="2"/>
  <c r="AA36" i="2"/>
  <c r="AA39" i="2" s="1"/>
  <c r="AB36" i="2"/>
  <c r="G37" i="2"/>
  <c r="I37" i="2"/>
  <c r="M37" i="2"/>
  <c r="O37" i="2"/>
  <c r="S37" i="2"/>
  <c r="U37" i="2"/>
  <c r="Y37" i="2"/>
  <c r="AA37" i="2"/>
  <c r="AB37" i="2" s="1"/>
  <c r="G38" i="2"/>
  <c r="I38" i="2"/>
  <c r="M38" i="2"/>
  <c r="O38" i="2" s="1"/>
  <c r="S38" i="2"/>
  <c r="U38" i="2"/>
  <c r="Y38" i="2"/>
  <c r="AA38" i="2" s="1"/>
  <c r="D39" i="2"/>
  <c r="G39" i="2" s="1"/>
  <c r="H39" i="2"/>
  <c r="J39" i="2"/>
  <c r="K39" i="2"/>
  <c r="L39" i="2"/>
  <c r="M39" i="2"/>
  <c r="N39" i="2"/>
  <c r="R39" i="2"/>
  <c r="T39" i="2"/>
  <c r="V39" i="2"/>
  <c r="X39" i="2"/>
  <c r="Z39" i="2"/>
  <c r="D40" i="2"/>
  <c r="H40" i="2"/>
  <c r="J40" i="2"/>
  <c r="K40" i="2"/>
  <c r="L40" i="2"/>
  <c r="N40" i="2"/>
  <c r="T40" i="2"/>
  <c r="V40" i="2"/>
  <c r="X40" i="2"/>
  <c r="Z40" i="2"/>
  <c r="S50" i="2"/>
  <c r="E51" i="2"/>
  <c r="G51" i="2"/>
  <c r="G50" i="2" s="1"/>
  <c r="M51" i="2"/>
  <c r="M50" i="2" s="1"/>
  <c r="S51" i="2"/>
  <c r="Y51" i="2"/>
  <c r="Y50" i="2" s="1"/>
  <c r="G52" i="2"/>
  <c r="M52" i="2"/>
  <c r="S52" i="2"/>
  <c r="Y52" i="2"/>
  <c r="G53" i="2"/>
  <c r="M53" i="2"/>
  <c r="Y53" i="2"/>
  <c r="G54" i="2"/>
  <c r="M54" i="2"/>
  <c r="Y54" i="2"/>
  <c r="G15" i="1"/>
  <c r="I15" i="1"/>
  <c r="M15" i="1"/>
  <c r="O15" i="1"/>
  <c r="S15" i="1"/>
  <c r="U15" i="1"/>
  <c r="Y15" i="1"/>
  <c r="AA15" i="1"/>
  <c r="AB15" i="1" s="1"/>
  <c r="G16" i="1"/>
  <c r="I16" i="1"/>
  <c r="M16" i="1"/>
  <c r="O16" i="1" s="1"/>
  <c r="S16" i="1"/>
  <c r="U16" i="1"/>
  <c r="V16" i="1"/>
  <c r="Y16" i="1" s="1"/>
  <c r="AA16" i="1" s="1"/>
  <c r="G17" i="1"/>
  <c r="I17" i="1" s="1"/>
  <c r="I24" i="1" s="1"/>
  <c r="M17" i="1"/>
  <c r="O17" i="1"/>
  <c r="S17" i="1"/>
  <c r="U17" i="1" s="1"/>
  <c r="Y17" i="1"/>
  <c r="AA17" i="1"/>
  <c r="AB17" i="1"/>
  <c r="E18" i="1"/>
  <c r="G18" i="1"/>
  <c r="I18" i="1"/>
  <c r="M18" i="1"/>
  <c r="O18" i="1" s="1"/>
  <c r="S18" i="1"/>
  <c r="U18" i="1"/>
  <c r="Y18" i="1"/>
  <c r="AA18" i="1" s="1"/>
  <c r="G19" i="1"/>
  <c r="I19" i="1"/>
  <c r="M19" i="1"/>
  <c r="O19" i="1"/>
  <c r="S19" i="1"/>
  <c r="U19" i="1"/>
  <c r="Y19" i="1"/>
  <c r="AA19" i="1"/>
  <c r="AB19" i="1"/>
  <c r="I20" i="1"/>
  <c r="M20" i="1"/>
  <c r="O20" i="1"/>
  <c r="S20" i="1"/>
  <c r="U20" i="1"/>
  <c r="Y20" i="1"/>
  <c r="AA20" i="1"/>
  <c r="AB20" i="1"/>
  <c r="G21" i="1"/>
  <c r="I21" i="1" s="1"/>
  <c r="M21" i="1"/>
  <c r="O21" i="1"/>
  <c r="S21" i="1"/>
  <c r="U21" i="1" s="1"/>
  <c r="Y21" i="1"/>
  <c r="AA21" i="1"/>
  <c r="AB21" i="1"/>
  <c r="G22" i="1"/>
  <c r="I22" i="1"/>
  <c r="M22" i="1"/>
  <c r="O22" i="1"/>
  <c r="S22" i="1"/>
  <c r="U22" i="1"/>
  <c r="Y22" i="1"/>
  <c r="AA22" i="1"/>
  <c r="AB22" i="1" s="1"/>
  <c r="G23" i="1"/>
  <c r="I23" i="1"/>
  <c r="M23" i="1"/>
  <c r="O23" i="1" s="1"/>
  <c r="S23" i="1"/>
  <c r="U23" i="1"/>
  <c r="Y23" i="1"/>
  <c r="AA23" i="1" s="1"/>
  <c r="D24" i="1"/>
  <c r="G24" i="1" s="1"/>
  <c r="E24" i="1"/>
  <c r="F24" i="1"/>
  <c r="H24" i="1"/>
  <c r="J24" i="1"/>
  <c r="K24" i="1"/>
  <c r="L24" i="1"/>
  <c r="M24" i="1"/>
  <c r="N24" i="1"/>
  <c r="P24" i="1"/>
  <c r="S24" i="1" s="1"/>
  <c r="Q24" i="1"/>
  <c r="R24" i="1"/>
  <c r="T24" i="1"/>
  <c r="W24" i="1"/>
  <c r="X24" i="1"/>
  <c r="Z24" i="1"/>
  <c r="G28" i="1"/>
  <c r="I28" i="1" s="1"/>
  <c r="M28" i="1"/>
  <c r="O28" i="1"/>
  <c r="S28" i="1"/>
  <c r="U28" i="1" s="1"/>
  <c r="Y28" i="1"/>
  <c r="AA28" i="1"/>
  <c r="AB28" i="1"/>
  <c r="G29" i="1"/>
  <c r="I29" i="1"/>
  <c r="M29" i="1"/>
  <c r="O29" i="1"/>
  <c r="S29" i="1"/>
  <c r="U29" i="1"/>
  <c r="Y29" i="1"/>
  <c r="AA29" i="1"/>
  <c r="AB29" i="1" s="1"/>
  <c r="G30" i="1"/>
  <c r="I30" i="1"/>
  <c r="M30" i="1"/>
  <c r="O30" i="1" s="1"/>
  <c r="S30" i="1"/>
  <c r="U30" i="1"/>
  <c r="V30" i="1"/>
  <c r="Y30" i="1" s="1"/>
  <c r="AA30" i="1" s="1"/>
  <c r="G31" i="1"/>
  <c r="I31" i="1" s="1"/>
  <c r="M31" i="1"/>
  <c r="O31" i="1"/>
  <c r="S31" i="1"/>
  <c r="U31" i="1" s="1"/>
  <c r="Y31" i="1"/>
  <c r="AA31" i="1"/>
  <c r="AB31" i="1"/>
  <c r="G32" i="1"/>
  <c r="I32" i="1"/>
  <c r="M32" i="1"/>
  <c r="O32" i="1"/>
  <c r="P32" i="1"/>
  <c r="S32" i="1"/>
  <c r="U32" i="1"/>
  <c r="Y32" i="1"/>
  <c r="AA32" i="1" s="1"/>
  <c r="AB32" i="1" s="1"/>
  <c r="G33" i="1"/>
  <c r="I33" i="1"/>
  <c r="M33" i="1"/>
  <c r="O33" i="1"/>
  <c r="S33" i="1"/>
  <c r="U33" i="1"/>
  <c r="Y33" i="1"/>
  <c r="AA33" i="1"/>
  <c r="AB33" i="1"/>
  <c r="G34" i="1"/>
  <c r="I34" i="1" s="1"/>
  <c r="M34" i="1"/>
  <c r="O34" i="1"/>
  <c r="S34" i="1"/>
  <c r="U34" i="1" s="1"/>
  <c r="Y34" i="1"/>
  <c r="AA34" i="1"/>
  <c r="AB34" i="1"/>
  <c r="G35" i="1"/>
  <c r="I35" i="1"/>
  <c r="M35" i="1"/>
  <c r="O35" i="1"/>
  <c r="S35" i="1"/>
  <c r="U35" i="1"/>
  <c r="Y35" i="1"/>
  <c r="AA35" i="1"/>
  <c r="AB35" i="1" s="1"/>
  <c r="G36" i="1"/>
  <c r="I36" i="1"/>
  <c r="M36" i="1"/>
  <c r="O36" i="1" s="1"/>
  <c r="S36" i="1"/>
  <c r="U36" i="1"/>
  <c r="Y36" i="1"/>
  <c r="AA36" i="1" s="1"/>
  <c r="G37" i="1"/>
  <c r="I37" i="1"/>
  <c r="M37" i="1"/>
  <c r="O37" i="1"/>
  <c r="S37" i="1"/>
  <c r="U37" i="1"/>
  <c r="Y37" i="1"/>
  <c r="AA37" i="1"/>
  <c r="AB37" i="1"/>
  <c r="G38" i="1"/>
  <c r="I38" i="1" s="1"/>
  <c r="M38" i="1"/>
  <c r="O38" i="1"/>
  <c r="S38" i="1"/>
  <c r="U38" i="1" s="1"/>
  <c r="V38" i="1"/>
  <c r="Y38" i="1"/>
  <c r="AA38" i="1"/>
  <c r="AB38" i="1" s="1"/>
  <c r="D39" i="1"/>
  <c r="G39" i="1" s="1"/>
  <c r="E39" i="1"/>
  <c r="F39" i="1"/>
  <c r="F40" i="1" s="1"/>
  <c r="H39" i="1"/>
  <c r="J39" i="1"/>
  <c r="J40" i="1" s="1"/>
  <c r="K39" i="1"/>
  <c r="L39" i="1"/>
  <c r="N39" i="1"/>
  <c r="N40" i="1" s="1"/>
  <c r="P39" i="1"/>
  <c r="S39" i="1" s="1"/>
  <c r="Q39" i="1"/>
  <c r="R39" i="1"/>
  <c r="R40" i="1" s="1"/>
  <c r="T39" i="1"/>
  <c r="V39" i="1"/>
  <c r="Y39" i="1" s="1"/>
  <c r="W39" i="1"/>
  <c r="X39" i="1"/>
  <c r="Z39" i="1"/>
  <c r="Z40" i="1" s="1"/>
  <c r="D40" i="1"/>
  <c r="E40" i="1"/>
  <c r="H40" i="1"/>
  <c r="K40" i="1"/>
  <c r="L40" i="1"/>
  <c r="P40" i="1"/>
  <c r="Q40" i="1"/>
  <c r="T40" i="1"/>
  <c r="W40" i="1"/>
  <c r="X40" i="1"/>
  <c r="G50" i="1"/>
  <c r="M50" i="1"/>
  <c r="S50" i="1"/>
  <c r="V50" i="1"/>
  <c r="Y50" i="1" s="1"/>
  <c r="G51" i="1"/>
  <c r="M51" i="1"/>
  <c r="S51" i="1"/>
  <c r="V51" i="1" s="1"/>
  <c r="Y51" i="1" s="1"/>
  <c r="G52" i="1"/>
  <c r="M52" i="1"/>
  <c r="S52" i="1"/>
  <c r="V52" i="1"/>
  <c r="Y52" i="1"/>
  <c r="G53" i="1"/>
  <c r="M53" i="1"/>
  <c r="S53" i="1"/>
  <c r="V53" i="1"/>
  <c r="Y53" i="1"/>
  <c r="AB35" i="2" l="1"/>
  <c r="O39" i="2"/>
  <c r="AB39" i="2" s="1"/>
  <c r="Q40" i="2"/>
  <c r="AB17" i="2"/>
  <c r="AA40" i="2"/>
  <c r="G32" i="2"/>
  <c r="I32" i="2" s="1"/>
  <c r="I39" i="2" s="1"/>
  <c r="I40" i="2" s="1"/>
  <c r="I41" i="2" s="1"/>
  <c r="E40" i="2"/>
  <c r="U24" i="2"/>
  <c r="AB38" i="2"/>
  <c r="S32" i="2"/>
  <c r="U32" i="2" s="1"/>
  <c r="U39" i="2" s="1"/>
  <c r="G40" i="2"/>
  <c r="O24" i="2"/>
  <c r="O40" i="2" s="1"/>
  <c r="O41" i="2" s="1"/>
  <c r="P39" i="2"/>
  <c r="W39" i="2"/>
  <c r="S34" i="2"/>
  <c r="U34" i="2" s="1"/>
  <c r="AB36" i="1"/>
  <c r="S40" i="1"/>
  <c r="AB18" i="1"/>
  <c r="O24" i="1"/>
  <c r="O40" i="1" s="1"/>
  <c r="O41" i="1" s="1"/>
  <c r="AB30" i="1"/>
  <c r="G40" i="1"/>
  <c r="I40" i="1"/>
  <c r="I41" i="1" s="1"/>
  <c r="U39" i="1"/>
  <c r="I39" i="1"/>
  <c r="O39" i="1"/>
  <c r="AB23" i="1"/>
  <c r="U24" i="1"/>
  <c r="U40" i="1" s="1"/>
  <c r="U41" i="1" s="1"/>
  <c r="AB16" i="1"/>
  <c r="M39" i="1"/>
  <c r="M40" i="1" s="1"/>
  <c r="AA24" i="1"/>
  <c r="AA39" i="1"/>
  <c r="AB39" i="1" s="1"/>
  <c r="V24" i="1"/>
  <c r="U40" i="2" l="1"/>
  <c r="U41" i="2" s="1"/>
  <c r="S39" i="2"/>
  <c r="S40" i="2" s="1"/>
  <c r="P40" i="2"/>
  <c r="AA41" i="2"/>
  <c r="AB41" i="2" s="1"/>
  <c r="AB40" i="2"/>
  <c r="Y39" i="2"/>
  <c r="Y40" i="2" s="1"/>
  <c r="W40" i="2"/>
  <c r="AB24" i="2"/>
  <c r="AA40" i="1"/>
  <c r="AB24" i="1"/>
  <c r="V40" i="1"/>
  <c r="Y24" i="1"/>
  <c r="Y40" i="1" s="1"/>
  <c r="AA41" i="1" l="1"/>
  <c r="AB41" i="1" s="1"/>
  <c r="AB40" i="1"/>
</calcChain>
</file>

<file path=xl/comments1.xml><?xml version="1.0" encoding="utf-8"?>
<comments xmlns="http://schemas.openxmlformats.org/spreadsheetml/2006/main">
  <authors>
    <author>vbuchtova</author>
  </authors>
  <commentList>
    <comment ref="W18" authorId="0" shapeId="0">
      <text>
        <r>
          <rPr>
            <b/>
            <sz val="9"/>
            <color indexed="81"/>
            <rFont val="Tahoma"/>
            <family val="2"/>
            <charset val="238"/>
          </rPr>
          <t>vbuchtova:</t>
        </r>
        <r>
          <rPr>
            <sz val="9"/>
            <color indexed="81"/>
            <rFont val="Tahoma"/>
            <family val="2"/>
            <charset val="238"/>
          </rPr>
          <t xml:space="preserve">
SR+ spol cestou 272,1tis</t>
        </r>
      </text>
    </comment>
    <comment ref="V29" authorId="0" shapeId="0">
      <text>
        <r>
          <rPr>
            <b/>
            <sz val="9"/>
            <color indexed="81"/>
            <rFont val="Tahoma"/>
            <family val="2"/>
            <charset val="238"/>
          </rPr>
          <t>vbuchtova:</t>
        </r>
        <r>
          <rPr>
            <sz val="9"/>
            <color indexed="81"/>
            <rFont val="Tahoma"/>
            <family val="2"/>
            <charset val="238"/>
          </rPr>
          <t xml:space="preserve">
UZ 703+704 (3,3+25,5) + dílny z UZ 702 (10,-tis)</t>
        </r>
      </text>
    </comment>
    <comment ref="V31" authorId="0" shapeId="0">
      <text>
        <r>
          <rPr>
            <b/>
            <sz val="9"/>
            <color indexed="81"/>
            <rFont val="Tahoma"/>
            <family val="2"/>
            <charset val="238"/>
          </rPr>
          <t>vbuchtova:</t>
        </r>
        <r>
          <rPr>
            <sz val="9"/>
            <color indexed="81"/>
            <rFont val="Tahoma"/>
            <family val="2"/>
            <charset val="238"/>
          </rPr>
          <t xml:space="preserve">
základní + UZ 703+704 (40,0+23,5)</t>
        </r>
      </text>
    </comment>
    <comment ref="V33" authorId="0" shapeId="0">
      <text>
        <r>
          <rPr>
            <b/>
            <sz val="9"/>
            <color indexed="81"/>
            <rFont val="Tahoma"/>
            <family val="2"/>
            <charset val="238"/>
          </rPr>
          <t>vbuchtova:</t>
        </r>
        <r>
          <rPr>
            <sz val="9"/>
            <color indexed="81"/>
            <rFont val="Tahoma"/>
            <family val="2"/>
            <charset val="238"/>
          </rPr>
          <t xml:space="preserve">
UZ 701+702+spol cestou (135,9+158,2+14,4)</t>
        </r>
      </text>
    </comment>
    <comment ref="W33" authorId="0" shapeId="0">
      <text>
        <r>
          <rPr>
            <b/>
            <sz val="9"/>
            <color indexed="81"/>
            <rFont val="Tahoma"/>
            <family val="2"/>
            <charset val="238"/>
          </rPr>
          <t>adamova:</t>
        </r>
        <r>
          <rPr>
            <sz val="9"/>
            <color indexed="81"/>
            <rFont val="Tahoma"/>
            <family val="2"/>
            <charset val="238"/>
          </rPr>
          <t xml:space="preserve">
základní + Spol cestou 188,8</t>
        </r>
      </text>
    </comment>
    <comment ref="W34" authorId="0" shapeId="0">
      <text>
        <r>
          <rPr>
            <b/>
            <sz val="9"/>
            <color indexed="81"/>
            <rFont val="Tahoma"/>
            <family val="2"/>
            <charset val="238"/>
          </rPr>
          <t>vbuchtova:</t>
        </r>
        <r>
          <rPr>
            <sz val="9"/>
            <color indexed="81"/>
            <rFont val="Tahoma"/>
            <family val="2"/>
            <charset val="238"/>
          </rPr>
          <t xml:space="preserve">
SR + Spol cestou na 7 měsíců celkem 7 tis
</t>
        </r>
      </text>
    </comment>
    <comment ref="V35" authorId="0" shapeId="0">
      <text>
        <r>
          <rPr>
            <b/>
            <sz val="9"/>
            <color indexed="81"/>
            <rFont val="Tahoma"/>
            <family val="2"/>
            <charset val="238"/>
          </rPr>
          <t>vbuchtova: základní z dohod +UZ 701+702+Spl cestou ( 72,9+26,5+spol.cestou 3,6)</t>
        </r>
      </text>
    </comment>
    <comment ref="W35" authorId="0" shapeId="0">
      <text>
        <r>
          <rPr>
            <b/>
            <sz val="9"/>
            <color indexed="81"/>
            <rFont val="Tahoma"/>
            <family val="2"/>
            <charset val="238"/>
          </rPr>
          <t>vbuchtova:</t>
        </r>
        <r>
          <rPr>
            <sz val="9"/>
            <color indexed="81"/>
            <rFont val="Tahoma"/>
            <family val="2"/>
            <charset val="238"/>
          </rPr>
          <t xml:space="preserve">
SR + Spol cestou 63,8 tis</t>
        </r>
      </text>
    </comment>
    <comment ref="W38" authorId="0" shapeId="0">
      <text>
        <r>
          <rPr>
            <b/>
            <sz val="9"/>
            <color indexed="81"/>
            <rFont val="Tahoma"/>
            <family val="2"/>
            <charset val="238"/>
          </rPr>
          <t>vbuchtova:</t>
        </r>
        <r>
          <rPr>
            <sz val="9"/>
            <color indexed="81"/>
            <rFont val="Tahoma"/>
            <family val="2"/>
            <charset val="238"/>
          </rPr>
          <t xml:space="preserve">
SR + Spl cestou 527 3,8 + 525 0,8+ 558 notebook 7,9tis
</t>
        </r>
      </text>
    </comment>
  </commentList>
</comments>
</file>

<file path=xl/sharedStrings.xml><?xml version="1.0" encoding="utf-8"?>
<sst xmlns="http://schemas.openxmlformats.org/spreadsheetml/2006/main" count="3687" uniqueCount="258">
  <si>
    <t>Podpis:</t>
  </si>
  <si>
    <t>Mgr. Bedřich Fryč</t>
  </si>
  <si>
    <t xml:space="preserve">Schválil: </t>
  </si>
  <si>
    <t>Ing. Martina Marešová</t>
  </si>
  <si>
    <t xml:space="preserve">Sestavil: </t>
  </si>
  <si>
    <t>Dne:</t>
  </si>
  <si>
    <t>Komentář k návrhu rozpočtu:</t>
  </si>
  <si>
    <t>Plán 31.12.</t>
  </si>
  <si>
    <t>Skutečnost k 30.6.</t>
  </si>
  <si>
    <t>31.12.</t>
  </si>
  <si>
    <t>1.1.</t>
  </si>
  <si>
    <t>Průměrný přepočtený stav zaměstnanců k:</t>
  </si>
  <si>
    <t>FKSP</t>
  </si>
  <si>
    <t>Fond odměn</t>
  </si>
  <si>
    <t>Fond investic</t>
  </si>
  <si>
    <t>Rezervní fond</t>
  </si>
  <si>
    <t>Plán k 31.12.</t>
  </si>
  <si>
    <t>Čerpání v roce</t>
  </si>
  <si>
    <t>Příděl v roce</t>
  </si>
  <si>
    <t>Plán k 1.1.</t>
  </si>
  <si>
    <t>Stav k 1.1.</t>
  </si>
  <si>
    <t>Zůstatek k 31.12.</t>
  </si>
  <si>
    <t>Stavy peněžitých fondů</t>
  </si>
  <si>
    <t>Ostatní investiční transfery</t>
  </si>
  <si>
    <t>Investiční příspěvek zřizovatel</t>
  </si>
  <si>
    <t>Investiční příspěvek/dotace</t>
  </si>
  <si>
    <t>ostatní</t>
  </si>
  <si>
    <t>z provozu</t>
  </si>
  <si>
    <t>Celkem</t>
  </si>
  <si>
    <t>Odvod do rozpočtu zřizovatele</t>
  </si>
  <si>
    <t>Čistý zisk/ztráta (bez provozního příspěvku zřizovatele)</t>
  </si>
  <si>
    <t>26.</t>
  </si>
  <si>
    <t>Výsledek hospodaření</t>
  </si>
  <si>
    <t>25.</t>
  </si>
  <si>
    <t>Náklady celkem</t>
  </si>
  <si>
    <t>23.</t>
  </si>
  <si>
    <t>Ostatní náklady</t>
  </si>
  <si>
    <t>21.</t>
  </si>
  <si>
    <t>Odpisy nehmotného a hmotného investičního majetku</t>
  </si>
  <si>
    <t>20.</t>
  </si>
  <si>
    <t>Daně a poplatky</t>
  </si>
  <si>
    <t>19.</t>
  </si>
  <si>
    <t>Povinné pojistné placené zaměstnavatelem</t>
  </si>
  <si>
    <t>18.</t>
  </si>
  <si>
    <t>ostatní osobní náklady</t>
  </si>
  <si>
    <t>17.</t>
  </si>
  <si>
    <t>v tom:  mzdy zaměstnanců</t>
  </si>
  <si>
    <t>16.</t>
  </si>
  <si>
    <t>Mzdové náklady</t>
  </si>
  <si>
    <t>15.</t>
  </si>
  <si>
    <t>Služby</t>
  </si>
  <si>
    <t>14.</t>
  </si>
  <si>
    <t xml:space="preserve"> </t>
  </si>
  <si>
    <t>Spotřeba energie</t>
  </si>
  <si>
    <t>13.</t>
  </si>
  <si>
    <t>Spotřeba materiálu</t>
  </si>
  <si>
    <t>12.</t>
  </si>
  <si>
    <t>Opravy a udržování</t>
  </si>
  <si>
    <t>11.</t>
  </si>
  <si>
    <t>z vlastních výnosů</t>
  </si>
  <si>
    <t>ostatních transferů</t>
  </si>
  <si>
    <t>z příspěvku zřizovatele</t>
  </si>
  <si>
    <t>NÁKLADY</t>
  </si>
  <si>
    <t>Náklady DČ</t>
  </si>
  <si>
    <t>Náklady Hl.Č celkem</t>
  </si>
  <si>
    <r>
      <rPr>
        <b/>
        <sz val="11"/>
        <color rgb="FF000000"/>
        <rFont val="Calibri"/>
        <family val="2"/>
        <charset val="238"/>
      </rPr>
      <t xml:space="preserve">NÁKLADY </t>
    </r>
    <r>
      <rPr>
        <sz val="11"/>
        <color rgb="FF000000"/>
        <rFont val="Calibri"/>
        <family val="2"/>
        <charset val="238"/>
      </rPr>
      <t>(hrazené)</t>
    </r>
  </si>
  <si>
    <t>Ukazatel</t>
  </si>
  <si>
    <t xml:space="preserve">Poř.č. řádku </t>
  </si>
  <si>
    <t>Porovnání s rokem 2021</t>
  </si>
  <si>
    <t>Výnosy celkem</t>
  </si>
  <si>
    <t>10.</t>
  </si>
  <si>
    <t>příjmy z prodeje majetku</t>
  </si>
  <si>
    <t>9.</t>
  </si>
  <si>
    <t>z toho: příjmy z pronájmu majetku</t>
  </si>
  <si>
    <t>8.</t>
  </si>
  <si>
    <t>Ostatní výnosy</t>
  </si>
  <si>
    <t>7.</t>
  </si>
  <si>
    <t>Zapojení fondů do výnosů</t>
  </si>
  <si>
    <t>6.</t>
  </si>
  <si>
    <t>Zúčtování 403 do výnosů</t>
  </si>
  <si>
    <t>5.</t>
  </si>
  <si>
    <t>Provozní dotace z jiných zdrojů (mimo SMCH)</t>
  </si>
  <si>
    <t>4.</t>
  </si>
  <si>
    <t>Účelový příspěvek zřizovatele (s vyúčtováním) - granty OŠ, OE</t>
  </si>
  <si>
    <t>3.</t>
  </si>
  <si>
    <t>Provozní příspěvek zřizovatele</t>
  </si>
  <si>
    <t>2.</t>
  </si>
  <si>
    <t>Tržby  601-609</t>
  </si>
  <si>
    <t>1.</t>
  </si>
  <si>
    <t>vlastní činnost</t>
  </si>
  <si>
    <t>ostatní transfery</t>
  </si>
  <si>
    <t>zřizovatel</t>
  </si>
  <si>
    <t>VÝNOSY</t>
  </si>
  <si>
    <t>Výnosy DČ</t>
  </si>
  <si>
    <t>Výnosy Hl.Č. celkem</t>
  </si>
  <si>
    <t>Výnosy</t>
  </si>
  <si>
    <t>Organizace celkem</t>
  </si>
  <si>
    <t>Doplňková činnost</t>
  </si>
  <si>
    <t>Hlavní činnost</t>
  </si>
  <si>
    <t>Plán 2022(návrh rozpočtu organizace)</t>
  </si>
  <si>
    <t>Skutečnost k 30.6.2021</t>
  </si>
  <si>
    <t>Schválený rozpočet (plán NaV 2021)</t>
  </si>
  <si>
    <t>Skutečnost k 31.12.2020</t>
  </si>
  <si>
    <t>Palackého 4995, 430 01 Chomutov</t>
  </si>
  <si>
    <t>Sídlo:</t>
  </si>
  <si>
    <t>00360589</t>
  </si>
  <si>
    <t>IČO:</t>
  </si>
  <si>
    <t>Chomutovská knihovna, příspěvková organizace</t>
  </si>
  <si>
    <t>Název organizace:</t>
  </si>
  <si>
    <t>Návrh rozpočtu 2022</t>
  </si>
  <si>
    <t>Mgr. Karel Žižka</t>
  </si>
  <si>
    <t>Bc. Lenka Maříková</t>
  </si>
  <si>
    <t>Stavy fondů</t>
  </si>
  <si>
    <r>
      <t xml:space="preserve">NÁKLADY </t>
    </r>
    <r>
      <rPr>
        <sz val="11"/>
        <color rgb="FF000000"/>
        <rFont val="Calibri"/>
        <family val="2"/>
        <charset val="238"/>
      </rPr>
      <t>(hrazené)</t>
    </r>
  </si>
  <si>
    <t>Náměstí T. G. Masaryka 1626, 43001 Chomutov</t>
  </si>
  <si>
    <t>Základní umělecká škola T. G.  Masaryka Chomutov</t>
  </si>
  <si>
    <t>Petr Markes, ředitel</t>
  </si>
  <si>
    <t>Ing. Veronika Purkrábek, ekonom</t>
  </si>
  <si>
    <t>02,11,2021</t>
  </si>
  <si>
    <t>24.</t>
  </si>
  <si>
    <t>Tvorba a zúčtování rezerv</t>
  </si>
  <si>
    <t>22.</t>
  </si>
  <si>
    <t>Aktivace oběžného majetku</t>
  </si>
  <si>
    <t>Hora Svatého Šebestiána 90, 431 82</t>
  </si>
  <si>
    <t>Městské lesy Chomutov, příspěvková organizace</t>
  </si>
  <si>
    <t>Bc. Eliška Smetanová</t>
  </si>
  <si>
    <t>Ing. Jitka Svobodová</t>
  </si>
  <si>
    <t>Zvýšení žádosti o příspěvek ziřzovatele především s ohledem na vyšší odpisy oproti roku 2021-*související s předaným majetkem od zřizovatele. Ostatní položky které se oproti roku 2021 navýšili (služby,materiál) byly pořešeny snížením nákladů na opravy a údržbu.</t>
  </si>
  <si>
    <t>Jiráskova 4335, 430 03  Chomutov</t>
  </si>
  <si>
    <t>Mateřská škola Chomutov, příspěvková organizace</t>
  </si>
  <si>
    <t>Mgr. Alena Tölgová, ředitelka</t>
  </si>
  <si>
    <t>Ing. Ivana Vomáčková</t>
  </si>
  <si>
    <t>V souvislosti se zvýšením cen energií, byly zvýšeny předpokládáné náklady pro rok 2022 o částku 1 570 tis. Kč.</t>
  </si>
  <si>
    <t>Žádost pro rok 2022 v rámci programu na podporu sociálních služeb bude podána cca v listopadu 2021. Bude žádáno o maximální podporu, ale výsledky dotačního programu budou známy až na začátku roku 2022. Dotace je nenároková.</t>
  </si>
  <si>
    <t>LMP pro rok 2022 je stanoven ve výši 73 245 tis. Kč</t>
  </si>
  <si>
    <t>3 760 tis. Kč dotační titul na podporu sociálních služeb (VDP)</t>
  </si>
  <si>
    <t>z toho: 803 tis. Kč příspěvek zřizovatete</t>
  </si>
  <si>
    <t>zvýšení příjmů o 4 563 tis. Kč</t>
  </si>
  <si>
    <t xml:space="preserve">67 tis. Kč odvody FKSP </t>
  </si>
  <si>
    <t>1 136 tis. Kč související odvody (úč. 524)</t>
  </si>
  <si>
    <t>z toho: 3 360 tis. Kč HM (úč. 521)</t>
  </si>
  <si>
    <t xml:space="preserve">zvýšení nákladů o 4 563 tis. Kč </t>
  </si>
  <si>
    <t>Na základě avizovaného zvýšení platů ve státní sféře, je upraven rozpočet pro rok 2022:</t>
  </si>
  <si>
    <t>Skutečnost k 30. 6.</t>
  </si>
  <si>
    <t>Písečná 5030, 430 04 Chomutov</t>
  </si>
  <si>
    <t>Sociální služby Chomutov, přískpěvková organizace</t>
  </si>
  <si>
    <t>Jiráskova 4140, 430 03  Chomutov</t>
  </si>
  <si>
    <t>Středisko volného času Domeček Chomutov, příspěvková organizace</t>
  </si>
  <si>
    <t>Ing. Zbyněk Koblížek</t>
  </si>
  <si>
    <t>Ing. Petra Langhammerová</t>
  </si>
  <si>
    <t>4) navýšení cen elektrické energie o 8.999.872,- Kč</t>
  </si>
  <si>
    <t>3) navýšení na dva pracovníky pasportizace ( celkově 1.108.128,- Kč)</t>
  </si>
  <si>
    <t>2) navýšení na převod 5-ti zaměstnanců správců lokalit z města na TSmCh (celkové náklady 1.550.000,- Kč)</t>
  </si>
  <si>
    <t>1) na základě rozhodnutí vlády ze dne 27.9.2021 má být přidán příplatek k tarifu v absolutní výši 1.400,- Kč (celkové navýšení 4.090.000,- Kč)</t>
  </si>
  <si>
    <t>Do plánu rozpočtu, proti původní verzi, byly doplněny následující náklady:</t>
  </si>
  <si>
    <t>Návrh rozpočtu na rok 2022 je proti rozpočtu na rok 2021 navýšen o náklady na správu ve výši 340.000,- Kč za nově převedený spravovaný majetek. Dále je v investičním příspěvku od zřizovatele uvedena částka dle výběrového řízení na svozové vozidlo na podzemní kontejnery, které přislíbil zřizovatel plně zafinancovat, protože TSmCh nemohou ze současné výše příspěvku plně financovat potřebné investice, protože zřizovatel dosud svým finančním příspěvkem nevykryl navýšení odpisů z převodu nemovistosí na TSmCh v roce 2019 ve výši 3.500 tis. Kč a dále zřizovatel nevykryl státem nařízené navýšení mezd v roce 2019 ve výši 6.500 tis. Kč.</t>
  </si>
  <si>
    <t>náměstí 1. Máje 89, 430 01 Chomutov</t>
  </si>
  <si>
    <t>Technické služby města Chomutova, příspěvková organizace</t>
  </si>
  <si>
    <t>Bc.Věra Fryčová</t>
  </si>
  <si>
    <t>Ivana Hejčová</t>
  </si>
  <si>
    <t>Zoo+KJ - zvýšení výnosů - prodej suvenýrů-rozšíření sortimentů v Zooshopu + pronájem vybavení pro vodní sporty-ukazatel epidemiologická situace a vývoj v roce 2022</t>
  </si>
  <si>
    <t>Vedlejší činnost:</t>
  </si>
  <si>
    <t>požadavek navýšený o nárůst cen energií v roce 2022 o 1850 tis.oproti původnímu návrhu na příspěvek ve výši 45.5 miliónů na současných  47,35  miliónů Kč- poslední úprava rozpočtu pro rok 2022 na základě schválených navýšení zřizovatelem v položkách energie</t>
  </si>
  <si>
    <t>Příspěvěk Zřizovatele:</t>
  </si>
  <si>
    <t>zapojení fondů do výnosů: 1.400 tis Kč</t>
  </si>
  <si>
    <t>zúčtování 403 do výnosů: navýšení o 200 tis. Kč - nové investice na dotace</t>
  </si>
  <si>
    <t>Tržby: zvýšeno o 1.550 tis. Kč (KJ o 380 tis. Kč- nová nájemní smlouva na areál minigolfu,vstupné-cíl stejný jako pro rok 2021 , Zoo-navýšené 970 tis. Kč výnosy z pronájmu + mírná možná úprava vstupného dle epidemiologického vývoje v roce 2022</t>
  </si>
  <si>
    <t>Výnosy HČ:</t>
  </si>
  <si>
    <t>úprava výše nákladů na energie pro rok 2021 o 1850 tisíc - důvod - výrazný nárůst cen za energie pro rok 2022 - dle vývoje posledních měsíců roku 2021</t>
  </si>
  <si>
    <t>ostatní náklady:  sníženo o 2.120 tis. Kč - dle skutečnosti 2020 a vývoje z 1.pololetí r.2021</t>
  </si>
  <si>
    <t>mzdy + PSZ: o 1.370 + 540 tis. Kč - vývoj počtu vyššího počtu zaměstnanců na zoologii a na Kamencovém jezeře-výhled vycházející z možností a vývoje v sezóně roku 2021+ mírné navýšení mezd -úprava mezd v průběhu roku 2022-avízvané navýšení o 3,5% inflace+úpravy dle politického vývoje po parlamentních volbách r.2021</t>
  </si>
  <si>
    <t>materiál: mírné navýšení dle vývoje stavu k 1.pololetí r.2021 a skutečnosti r.2020</t>
  </si>
  <si>
    <t>energie: navýšení energií - avízované celostátní zdražování všech energií-po přefakturaci energií u nájemních vztahů-účtováno zpět do výnosů organizace</t>
  </si>
  <si>
    <t>opravy: o 690 tis Kč - navýšení z důvodu údržby stávajícího vybavení Zooparku před realizací záměrů z rozvojové studie</t>
  </si>
  <si>
    <t>odpisy: o 540 tis. Kč ( Zoo o 540 tis. Kč)  nové investice 2021+ realizace nových investic r.2022</t>
  </si>
  <si>
    <t>navýšení ( případné snížení-důvod):</t>
  </si>
  <si>
    <t>Náklady HČ:</t>
  </si>
  <si>
    <t>Přemyslova 259, 430 01 Chomutov</t>
  </si>
  <si>
    <t>Zoopark Chomutov p.o.</t>
  </si>
  <si>
    <t>Mgr. Hana Horská</t>
  </si>
  <si>
    <t>Jana Tučková</t>
  </si>
  <si>
    <t xml:space="preserve"> - 43,0 tis. Kč - účelový příspěvek od zřizovatele - ÚZ 704</t>
  </si>
  <si>
    <t xml:space="preserve"> - 18,2 tis. Kč - účelový příspěvek od zřizovatele - ÚZ 703</t>
  </si>
  <si>
    <t xml:space="preserve"> - 94,3 tis. Kč - účelový příspěvek od zřizovatele - ÚZ 702</t>
  </si>
  <si>
    <t xml:space="preserve"> - 75,0 tis. Kč na energie</t>
  </si>
  <si>
    <t xml:space="preserve">Navýšení původního návrhu rozpočtu na rok 2022 o: </t>
  </si>
  <si>
    <t>17. listopadu 4728, 430 04 Chomutov</t>
  </si>
  <si>
    <t>Základní škola a Mateřská škola, Chomutov, 17. listopadu 4728, Chomutov, příspěvková organizace</t>
  </si>
  <si>
    <t>Ing.Vladimíra Nováková</t>
  </si>
  <si>
    <t xml:space="preserve">Michaela Adamová Bc. </t>
  </si>
  <si>
    <t xml:space="preserve">zvýšení nákladů ve spotřebě materiálu  - návrat k bežnému provozu při  plné prezentační výuce + desinfekce a čistící prostředky </t>
  </si>
  <si>
    <t xml:space="preserve">zvýšení nákladů ve službách - návrat k bežnému provozu při plné prezentační výuce </t>
  </si>
  <si>
    <t xml:space="preserve">zvýšení nákladů enrgií - zvýšení cen a zejména předpoklad opakování delší topné sezóny jako v roce 2021 + vyšší spotřeba vody a el. energie  oproti roku 2020+2021 </t>
  </si>
  <si>
    <t>Náklady :  zvýšení požadavku o 71 tis. navíc z nařízeného max. limitu 4 800 000 z důvodů :</t>
  </si>
  <si>
    <t xml:space="preserve">předpokládaný návrat - zvýšení výnosů z pronájmů a ze stravného díky prezentační výchově (přibližně na stavy 2019) </t>
  </si>
  <si>
    <t xml:space="preserve">Výnosy : </t>
  </si>
  <si>
    <t>V roce 2022 :</t>
  </si>
  <si>
    <t>odvedeno zřizovateli</t>
  </si>
  <si>
    <t>Plán 2022(návrh rozpočtu organizace) k 2.11.2021 -el.energie + UZ</t>
  </si>
  <si>
    <t>Březenecká 4679, Chomutov 43004</t>
  </si>
  <si>
    <t>Základní škola Chomutov , Březenecká 4679</t>
  </si>
  <si>
    <t>Mgr. Miloš Zelenka</t>
  </si>
  <si>
    <t>Alena Bažantová</t>
  </si>
  <si>
    <t xml:space="preserve">Provozní příspěvek, který byl na letošní rok snížen vzhledem ke corona krizi, byl ponechán v původní výši z předešlých požadavků na rozpočtový výhled z důvodu plánovaného zdražení energií a vyšším odpisům. </t>
  </si>
  <si>
    <t>Chomutov, Akademika Heyrovského 4539</t>
  </si>
  <si>
    <t>Základní škola Chomutov, Akademika Heyrovského 4539</t>
  </si>
  <si>
    <t>Mgr. Dudková Ivana</t>
  </si>
  <si>
    <t>Havlíková Michaela</t>
  </si>
  <si>
    <t xml:space="preserve">              - zapojení fondů - zapojení rezervního fondu na dovybavení tříd</t>
  </si>
  <si>
    <t>Výnosy - v položce provozní dotace z jiných zdrojů je zahrnuta jen dotace KÚ na platy a ONIV, jelikož výše dotace EU Šablony, která se bude převádět do roku 2022, ještě není známa.</t>
  </si>
  <si>
    <t>Zůstatek k 30. 6.</t>
  </si>
  <si>
    <t>Hornická 4387</t>
  </si>
  <si>
    <t>Základní škola Chomutov, Hornická 4387</t>
  </si>
  <si>
    <t>Mgr. Ilona Zahálková</t>
  </si>
  <si>
    <t>Alena Štorková</t>
  </si>
  <si>
    <t xml:space="preserve">Závazný limit pro ZŠ Chomutov, Kadaňská 2334 na rozpočet 2022 včetně ÚZ činí 5.380.100,- Kč. </t>
  </si>
  <si>
    <t>Kadaňská 2334, 430 03 Chomutov</t>
  </si>
  <si>
    <t>Základní škola Chomutov, Kadaňská 2334</t>
  </si>
  <si>
    <t>Miloslav Hons</t>
  </si>
  <si>
    <t>Moravcová Marcela</t>
  </si>
  <si>
    <t>dne 2.11.2021 byl rozpočet navýšen o 328,7 tis Kč (ÚZ 702, ÚZ 703, ÚZ 704)</t>
  </si>
  <si>
    <t>dne 26.10.2021 byl navýšen příspěvek na energie o 180 tis Kč</t>
  </si>
  <si>
    <t>V roce 2022 bude realizace části nových Šablon III. - ve výši 500 tis. Jedná se o mzdové náklady</t>
  </si>
  <si>
    <t>navýšení se skládá z:  navýšena spotřeba materiálu a spotřeba energie a opravy</t>
  </si>
  <si>
    <t>rozpočet z roku 2021 ve výši 4.800 tis navýšen o 300 tis. tj.  5.100 tis</t>
  </si>
  <si>
    <t>rozpočet na rok 2022:</t>
  </si>
  <si>
    <t>Rezervní fon (nespotřebované projekty)</t>
  </si>
  <si>
    <t>Plán k 31.12.2022</t>
  </si>
  <si>
    <t>Plán k 31.12.2021</t>
  </si>
  <si>
    <r>
      <t xml:space="preserve">NÁKLADY </t>
    </r>
    <r>
      <rPr>
        <sz val="14"/>
        <color theme="1"/>
        <rFont val="Calibri"/>
        <family val="2"/>
        <charset val="238"/>
        <scheme val="minor"/>
      </rPr>
      <t>(hrazené)</t>
    </r>
  </si>
  <si>
    <t>Na Příkopech 895, 430 01 Chomutov</t>
  </si>
  <si>
    <t>Základní škola Chomutov, Na Příkopech 895</t>
  </si>
  <si>
    <t>Mgr.Miroslav Žalud</t>
  </si>
  <si>
    <t>Kebrlová Jana</t>
  </si>
  <si>
    <t>Do účelového příspěvku zřizovatele byly zahrnuty následující UZ s vyúčtováním : Projekt Společnou cestou - 5% dotace SMCH ve výši 60,5 tis. Kč, UZ 701 ve výši 141,8 tis.Kč, UZ 702 ve výši 172,7 tis.Kč, UZ 703 ve výši 33,3 tis.Kč a UZ 704 ve výši 44 tis.Kč</t>
  </si>
  <si>
    <t>Dále došlo k navýšení provozního příspěvku o dalších 200 tis.Kč a to dle administrativního navýšení rozpočtu vlivem strmého nárůstu ceny silové energie mezi roky 2020 a 2022.</t>
  </si>
  <si>
    <t>reálného předpokladu navýšení potřebných prostředků na opravy a udržování a to zejména u školního hřiště a školní jídelny.</t>
  </si>
  <si>
    <t xml:space="preserve">Při sestavování návrhu rozpočtu na rok 2022 nebylo dodrženo doporučení zřizovatele - závazný limit protředků ( 5 mil. Kč )  na provoz na rok 2022 byl překročen o 150 tis.Kč a to z důvodu </t>
  </si>
  <si>
    <t>Písečná 5144, 430 04 Chomutov</t>
  </si>
  <si>
    <t>Základní škola Chomutov, Písečná 5144</t>
  </si>
  <si>
    <t xml:space="preserve">Návrh rozpočtu 2022 - aktualizace k 27.10.2021 - zvýšení cen energií + účelové příspěvky od zřizovatele </t>
  </si>
  <si>
    <t xml:space="preserve">Mgr. Vlasta Marková </t>
  </si>
  <si>
    <t xml:space="preserve">Edita Drexlerová </t>
  </si>
  <si>
    <t xml:space="preserve">Navýšení spotřeby energií a provozní příspěvek MMCH o 159.752,- Kč </t>
  </si>
  <si>
    <t xml:space="preserve">Vzhledem k tomu, že již v tomto roce došlo k výraznému navýšení cen energií oproti plánu na letošní rok 2021 (cca o 390.000,- Kč), jsme i přes větší úpravy (snížení nákladů na opravy aj.) museli přistoupit k navýšení rozpočtu o 100.000,- Kč. </t>
  </si>
  <si>
    <t xml:space="preserve">Rezervní fond se skládá: HV,  finanční dary rodičů,  z projektů Školní šablony a Společnou cestou. </t>
  </si>
  <si>
    <t>Zůstatek k 30.6.</t>
  </si>
  <si>
    <t>Školní 1480/61, Chomutov, 430 01</t>
  </si>
  <si>
    <t>Základní škola Chomutov, Školní 1480</t>
  </si>
  <si>
    <t>Mgr. Libuše Slavíková</t>
  </si>
  <si>
    <t>Věra Čmejrková</t>
  </si>
  <si>
    <t>Rezervní fond se skládá: HV, sponzor.dar, nespotř. zálohy  z projektů Šablony a Spol.cestou  .</t>
  </si>
  <si>
    <t>Zahradní 5265, Chomutov 43004</t>
  </si>
  <si>
    <t>Základní škola Chomutov, Zahradní 5265</t>
  </si>
  <si>
    <t>Mgr. Sejnová Jana - ředitelka školy</t>
  </si>
  <si>
    <t>Kubátová Ilona</t>
  </si>
  <si>
    <t>Palachova 4881, 430 03 Chomutov 3</t>
  </si>
  <si>
    <t>Základní škola speciální a Mateřská škola Chomutov, Palachova 4881, příspěvková organizace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</si>
</sst>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
    <numFmt numFmtId="165" formatCode="d/m/yyyy"/>
    <numFmt numFmtId="166" formatCode="#,##0.0"/>
    <numFmt numFmtId="167" formatCode="#,##0.0_ ;[Red]\-#,##0.0\ "/>
    <numFmt numFmtId="169" formatCode="0.0"/>
  </numFmts>
  <fonts count="50" x14ac:knownFonts="1">
    <font>
      <sz val="11"/>
      <color rgb="FF000000"/>
      <name val="Calibri"/>
      <family val="2"/>
      <charset val="238"/>
    </font>
    <font>
      <sz val="11"/>
      <color theme="1"/>
      <name val="Calibri"/>
      <family val="2"/>
      <charset val="238"/>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000000"/>
      <name val="Calibri"/>
      <family val="2"/>
      <charset val="238"/>
    </font>
    <font>
      <sz val="10"/>
      <name val="Arial CE"/>
      <charset val="238"/>
    </font>
    <font>
      <sz val="10"/>
      <name val="Calibri"/>
      <family val="2"/>
      <charset val="238"/>
    </font>
    <font>
      <b/>
      <i/>
      <sz val="11"/>
      <color rgb="FF000000"/>
      <name val="Calibri"/>
      <family val="2"/>
      <charset val="238"/>
    </font>
    <font>
      <b/>
      <sz val="11"/>
      <name val="Calibri"/>
      <family val="2"/>
      <charset val="238"/>
    </font>
    <font>
      <b/>
      <sz val="9"/>
      <color rgb="FF000000"/>
      <name val="Calibri"/>
      <family val="2"/>
      <charset val="238"/>
    </font>
    <font>
      <sz val="11"/>
      <name val="Calibri"/>
      <family val="2"/>
      <charset val="238"/>
    </font>
    <font>
      <i/>
      <sz val="11"/>
      <color rgb="FF000000"/>
      <name val="Calibri"/>
      <family val="2"/>
      <charset val="238"/>
    </font>
    <font>
      <b/>
      <sz val="11"/>
      <color rgb="FFFFFFFF"/>
      <name val="Calibri"/>
      <family val="2"/>
      <charset val="238"/>
    </font>
    <font>
      <b/>
      <sz val="14"/>
      <color rgb="FFFFFFFF"/>
      <name val="Calibri"/>
      <family val="2"/>
      <charset val="238"/>
    </font>
    <font>
      <b/>
      <sz val="14"/>
      <color rgb="FF000000"/>
      <name val="Calibri"/>
      <family val="2"/>
      <charset val="238"/>
    </font>
    <font>
      <b/>
      <sz val="11"/>
      <color rgb="FF363636"/>
      <name val="Calibri"/>
      <family val="2"/>
      <charset val="238"/>
    </font>
    <font>
      <b/>
      <sz val="10"/>
      <color rgb="FF000000"/>
      <name val="Calibri"/>
      <family val="2"/>
      <charset val="238"/>
    </font>
    <font>
      <sz val="8"/>
      <color rgb="FF000000"/>
      <name val="Calibri"/>
      <family val="2"/>
      <charset val="238"/>
    </font>
    <font>
      <sz val="11"/>
      <color rgb="FFFF0000"/>
      <name val="Calibri"/>
      <family val="2"/>
      <charset val="238"/>
    </font>
    <font>
      <sz val="10"/>
      <color rgb="FF000000"/>
      <name val="Calibri"/>
      <family val="2"/>
      <charset val="238"/>
    </font>
    <font>
      <b/>
      <sz val="16"/>
      <color rgb="FF000000"/>
      <name val="Calibri"/>
      <family val="2"/>
      <charset val="238"/>
    </font>
    <font>
      <sz val="10"/>
      <name val="Calibri"/>
      <family val="2"/>
      <charset val="238"/>
      <scheme val="minor"/>
    </font>
    <font>
      <b/>
      <i/>
      <sz val="11"/>
      <color theme="1"/>
      <name val="Calibri"/>
      <family val="2"/>
      <charset val="238"/>
      <scheme val="minor"/>
    </font>
    <font>
      <b/>
      <sz val="11"/>
      <name val="Calibri"/>
      <family val="2"/>
      <charset val="238"/>
      <scheme val="minor"/>
    </font>
    <font>
      <b/>
      <sz val="9"/>
      <color theme="1"/>
      <name val="Calibri"/>
      <family val="2"/>
      <charset val="238"/>
      <scheme val="minor"/>
    </font>
    <font>
      <sz val="11"/>
      <name val="Calibri"/>
      <family val="2"/>
      <charset val="238"/>
      <scheme val="minor"/>
    </font>
    <font>
      <i/>
      <sz val="11"/>
      <color theme="1"/>
      <name val="Calibri"/>
      <family val="2"/>
      <charset val="238"/>
      <scheme val="minor"/>
    </font>
    <font>
      <b/>
      <sz val="14"/>
      <color theme="0"/>
      <name val="Calibri"/>
      <family val="2"/>
      <charset val="238"/>
      <scheme val="minor"/>
    </font>
    <font>
      <b/>
      <sz val="14"/>
      <color theme="1"/>
      <name val="Calibri"/>
      <family val="2"/>
      <charset val="238"/>
      <scheme val="minor"/>
    </font>
    <font>
      <b/>
      <sz val="11"/>
      <color rgb="FF363636"/>
      <name val="Calibri"/>
      <family val="2"/>
      <charset val="238"/>
      <scheme val="minor"/>
    </font>
    <font>
      <b/>
      <sz val="10"/>
      <color theme="1"/>
      <name val="Calibri"/>
      <family val="2"/>
      <charset val="238"/>
      <scheme val="minor"/>
    </font>
    <font>
      <sz val="8"/>
      <color theme="1"/>
      <name val="Calibri"/>
      <family val="2"/>
      <charset val="238"/>
      <scheme val="minor"/>
    </font>
    <font>
      <sz val="11"/>
      <color rgb="FF000000"/>
      <name val="Calibri"/>
      <family val="2"/>
      <charset val="238"/>
      <scheme val="minor"/>
    </font>
    <font>
      <sz val="10"/>
      <color theme="1"/>
      <name val="Calibri"/>
      <family val="2"/>
      <charset val="238"/>
      <scheme val="minor"/>
    </font>
    <font>
      <b/>
      <sz val="16"/>
      <color theme="1"/>
      <name val="Calibri"/>
      <family val="2"/>
      <charset val="238"/>
      <scheme val="minor"/>
    </font>
    <font>
      <u/>
      <sz val="11"/>
      <color theme="1"/>
      <name val="Calibri"/>
      <family val="2"/>
      <charset val="238"/>
      <scheme val="minor"/>
    </font>
    <font>
      <b/>
      <u/>
      <sz val="11"/>
      <color theme="1"/>
      <name val="Calibri"/>
      <family val="2"/>
      <charset val="238"/>
      <scheme val="minor"/>
    </font>
    <font>
      <b/>
      <sz val="9"/>
      <color indexed="81"/>
      <name val="Tahoma"/>
      <family val="2"/>
      <charset val="238"/>
    </font>
    <font>
      <sz val="9"/>
      <color indexed="81"/>
      <name val="Tahoma"/>
      <family val="2"/>
      <charset val="238"/>
    </font>
    <font>
      <b/>
      <sz val="14"/>
      <name val="Calibri"/>
      <family val="2"/>
      <charset val="238"/>
      <scheme val="minor"/>
    </font>
    <font>
      <sz val="14"/>
      <color theme="1"/>
      <name val="Calibri"/>
      <family val="2"/>
      <charset val="238"/>
      <scheme val="minor"/>
    </font>
    <font>
      <b/>
      <i/>
      <sz val="14"/>
      <color theme="1"/>
      <name val="Calibri"/>
      <family val="2"/>
      <charset val="238"/>
      <scheme val="minor"/>
    </font>
    <font>
      <sz val="14"/>
      <name val="Calibri"/>
      <family val="2"/>
      <charset val="238"/>
      <scheme val="minor"/>
    </font>
    <font>
      <i/>
      <sz val="14"/>
      <color theme="1"/>
      <name val="Calibri"/>
      <family val="2"/>
      <charset val="238"/>
      <scheme val="minor"/>
    </font>
    <font>
      <b/>
      <sz val="14"/>
      <color rgb="FF363636"/>
      <name val="Calibri"/>
      <family val="2"/>
      <charset val="238"/>
      <scheme val="minor"/>
    </font>
    <font>
      <sz val="14"/>
      <color rgb="FF000000"/>
      <name val="Calibri"/>
      <family val="2"/>
      <charset val="238"/>
      <scheme val="minor"/>
    </font>
    <font>
      <sz val="14"/>
      <color rgb="FFFF0000"/>
      <name val="Calibri"/>
      <family val="2"/>
      <charset val="238"/>
      <scheme val="minor"/>
    </font>
    <font>
      <b/>
      <sz val="13"/>
      <color theme="1"/>
      <name val="Calibri"/>
      <family val="2"/>
      <charset val="238"/>
      <scheme val="minor"/>
    </font>
    <font>
      <b/>
      <sz val="12"/>
      <color theme="1"/>
      <name val="Calibri"/>
      <family val="2"/>
      <charset val="238"/>
      <scheme val="minor"/>
    </font>
  </fonts>
  <fills count="31">
    <fill>
      <patternFill patternType="none"/>
    </fill>
    <fill>
      <patternFill patternType="gray125"/>
    </fill>
    <fill>
      <patternFill patternType="solid">
        <fgColor rgb="FFDEEBF7"/>
        <bgColor rgb="FFDAE3F3"/>
      </patternFill>
    </fill>
    <fill>
      <patternFill patternType="solid">
        <fgColor rgb="FFFFFFFF"/>
        <bgColor rgb="FFF2F2F2"/>
      </patternFill>
    </fill>
    <fill>
      <patternFill patternType="solid">
        <fgColor rgb="FFF2F2F2"/>
        <bgColor rgb="FFEDEDED"/>
      </patternFill>
    </fill>
    <fill>
      <patternFill patternType="solid">
        <fgColor rgb="FFEDEDED"/>
        <bgColor rgb="FFF2F2F2"/>
      </patternFill>
    </fill>
    <fill>
      <patternFill patternType="solid">
        <fgColor rgb="FFE7E6E6"/>
        <bgColor rgb="FFEDEDED"/>
      </patternFill>
    </fill>
    <fill>
      <patternFill patternType="solid">
        <fgColor rgb="FF44546A"/>
        <bgColor rgb="FF363636"/>
      </patternFill>
    </fill>
    <fill>
      <patternFill patternType="solid">
        <fgColor rgb="FFDAE3F3"/>
        <bgColor rgb="FFDEEBF7"/>
      </patternFill>
    </fill>
    <fill>
      <patternFill patternType="solid">
        <fgColor rgb="FFFBE5D6"/>
        <bgColor rgb="FFE7E6E6"/>
      </patternFill>
    </fill>
    <fill>
      <patternFill patternType="solid">
        <fgColor rgb="FFE2F0D9"/>
        <bgColor rgb="FFE7E6E6"/>
      </patternFill>
    </fill>
    <fill>
      <patternFill patternType="solid">
        <fgColor rgb="FFDBDBDB"/>
        <bgColor rgb="FFD9D9D9"/>
      </patternFill>
    </fill>
    <fill>
      <patternFill patternType="solid">
        <fgColor rgb="FFFFFF00"/>
        <bgColor rgb="FFFFFF00"/>
      </patternFill>
    </fill>
    <fill>
      <patternFill patternType="solid">
        <fgColor rgb="FFD9D9D9"/>
        <bgColor rgb="FFDBDBDB"/>
      </patternFill>
    </fill>
    <fill>
      <patternFill patternType="solid">
        <fgColor rgb="FF92D050"/>
        <bgColor rgb="FF969696"/>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theme="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CCCCFF"/>
        <bgColor indexed="64"/>
      </patternFill>
    </fill>
    <fill>
      <patternFill patternType="solid">
        <fgColor theme="7" tint="0.59999389629810485"/>
        <bgColor indexed="64"/>
      </patternFill>
    </fill>
  </fills>
  <borders count="61">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0" borderId="0"/>
    <xf numFmtId="0" fontId="1" fillId="0" borderId="0"/>
  </cellStyleXfs>
  <cellXfs count="677">
    <xf numFmtId="0" fontId="0" fillId="0" borderId="0" xfId="0"/>
    <xf numFmtId="164" fontId="0" fillId="0" borderId="0" xfId="0" applyNumberFormat="1" applyFont="1"/>
    <xf numFmtId="0" fontId="0" fillId="2" borderId="0" xfId="0" applyFill="1"/>
    <xf numFmtId="0" fontId="5" fillId="2" borderId="0" xfId="0" applyFont="1" applyFill="1" applyBorder="1" applyAlignment="1" applyProtection="1">
      <alignment horizontal="left"/>
    </xf>
    <xf numFmtId="0" fontId="0" fillId="2" borderId="0" xfId="0" applyFill="1" applyProtection="1"/>
    <xf numFmtId="0" fontId="5" fillId="3" borderId="0" xfId="0" applyFont="1" applyFill="1" applyBorder="1" applyAlignment="1" applyProtection="1">
      <alignment horizontal="left"/>
    </xf>
    <xf numFmtId="0" fontId="5" fillId="0" borderId="0" xfId="0" applyFont="1" applyBorder="1" applyAlignment="1" applyProtection="1">
      <alignment horizontal="left"/>
    </xf>
    <xf numFmtId="0" fontId="5" fillId="3" borderId="0" xfId="0" applyFont="1" applyFill="1" applyBorder="1" applyAlignment="1" applyProtection="1">
      <alignment horizontal="left"/>
      <protection locked="0"/>
    </xf>
    <xf numFmtId="0" fontId="5" fillId="0" borderId="0" xfId="0" applyFont="1" applyBorder="1" applyAlignment="1" applyProtection="1">
      <alignment horizontal="left"/>
      <protection locked="0"/>
    </xf>
    <xf numFmtId="165" fontId="5" fillId="3" borderId="0" xfId="0" applyNumberFormat="1" applyFont="1" applyFill="1" applyBorder="1" applyAlignment="1" applyProtection="1">
      <alignment horizontal="left"/>
      <protection locked="0"/>
    </xf>
    <xf numFmtId="0" fontId="5" fillId="2" borderId="0" xfId="0" applyFont="1" applyFill="1" applyBorder="1" applyAlignment="1" applyProtection="1">
      <alignment horizontal="left"/>
      <protection locked="0"/>
    </xf>
    <xf numFmtId="0" fontId="7" fillId="2" borderId="0" xfId="1" applyFont="1" applyFill="1" applyBorder="1" applyProtection="1"/>
    <xf numFmtId="0" fontId="7" fillId="2" borderId="0" xfId="0" applyFont="1" applyFill="1" applyBorder="1"/>
    <xf numFmtId="0" fontId="0" fillId="2" borderId="0" xfId="0" applyFill="1" applyBorder="1" applyProtection="1"/>
    <xf numFmtId="0" fontId="0" fillId="0" borderId="1" xfId="0" applyBorder="1"/>
    <xf numFmtId="0" fontId="0" fillId="0" borderId="2" xfId="0" applyBorder="1"/>
    <xf numFmtId="0" fontId="5" fillId="0" borderId="2" xfId="0" applyFont="1" applyBorder="1" applyAlignment="1" applyProtection="1">
      <alignment horizontal="left"/>
      <protection locked="0"/>
    </xf>
    <xf numFmtId="0" fontId="7" fillId="0" borderId="2" xfId="1" applyFont="1" applyBorder="1" applyProtection="1"/>
    <xf numFmtId="0" fontId="7" fillId="0" borderId="2" xfId="0" applyFont="1" applyBorder="1"/>
    <xf numFmtId="0" fontId="7" fillId="0" borderId="3" xfId="1" applyFont="1" applyBorder="1" applyProtection="1"/>
    <xf numFmtId="0" fontId="0" fillId="0" borderId="4" xfId="0" applyBorder="1"/>
    <xf numFmtId="0" fontId="0" fillId="0" borderId="0" xfId="0" applyBorder="1"/>
    <xf numFmtId="0" fontId="5" fillId="0" borderId="0" xfId="0" applyFont="1" applyBorder="1" applyAlignment="1" applyProtection="1">
      <alignment horizontal="left"/>
      <protection locked="0"/>
    </xf>
    <xf numFmtId="0" fontId="7" fillId="0" borderId="0" xfId="1" applyFont="1" applyBorder="1" applyProtection="1"/>
    <xf numFmtId="0" fontId="7" fillId="0" borderId="0" xfId="0" applyFont="1" applyBorder="1"/>
    <xf numFmtId="0" fontId="7" fillId="0" borderId="5" xfId="1" applyFont="1" applyBorder="1" applyProtection="1"/>
    <xf numFmtId="0" fontId="5" fillId="0" borderId="5" xfId="0" applyFont="1" applyBorder="1" applyAlignment="1" applyProtection="1">
      <alignment horizontal="left"/>
      <protection locked="0"/>
    </xf>
    <xf numFmtId="0" fontId="5" fillId="0" borderId="5" xfId="0" applyFont="1" applyBorder="1" applyAlignment="1" applyProtection="1">
      <alignment horizontal="left"/>
      <protection locked="0"/>
    </xf>
    <xf numFmtId="0" fontId="0" fillId="0" borderId="5" xfId="0" applyBorder="1"/>
    <xf numFmtId="0" fontId="0" fillId="0" borderId="6" xfId="0" applyBorder="1"/>
    <xf numFmtId="0" fontId="0" fillId="0" borderId="7" xfId="0" applyBorder="1"/>
    <xf numFmtId="166" fontId="5" fillId="0" borderId="7" xfId="0" applyNumberFormat="1" applyFont="1" applyBorder="1" applyAlignment="1" applyProtection="1">
      <alignment horizontal="left"/>
      <protection locked="0"/>
    </xf>
    <xf numFmtId="0" fontId="5" fillId="4" borderId="7" xfId="0" applyFont="1" applyFill="1" applyBorder="1" applyAlignment="1" applyProtection="1">
      <alignment horizontal="left"/>
    </xf>
    <xf numFmtId="0" fontId="5" fillId="4" borderId="8" xfId="0" applyFont="1" applyFill="1" applyBorder="1" applyAlignment="1" applyProtection="1">
      <alignment horizontal="left"/>
    </xf>
    <xf numFmtId="166" fontId="8" fillId="2" borderId="0" xfId="0" applyNumberFormat="1" applyFont="1" applyFill="1" applyBorder="1" applyAlignment="1" applyProtection="1">
      <alignment horizontal="right"/>
    </xf>
    <xf numFmtId="166" fontId="5" fillId="2" borderId="0" xfId="0" applyNumberFormat="1" applyFont="1" applyFill="1" applyBorder="1" applyProtection="1"/>
    <xf numFmtId="0" fontId="5" fillId="2" borderId="0" xfId="0" applyFont="1" applyFill="1" applyBorder="1" applyProtection="1"/>
    <xf numFmtId="0" fontId="5" fillId="2" borderId="0" xfId="0" applyFont="1" applyFill="1" applyBorder="1" applyAlignment="1" applyProtection="1">
      <alignment horizontal="center"/>
    </xf>
    <xf numFmtId="166" fontId="5" fillId="0" borderId="9" xfId="0" applyNumberFormat="1" applyFont="1" applyBorder="1" applyProtection="1">
      <protection locked="0"/>
    </xf>
    <xf numFmtId="0" fontId="5" fillId="0" borderId="9" xfId="0" applyFont="1" applyBorder="1" applyProtection="1"/>
    <xf numFmtId="166" fontId="5" fillId="4" borderId="9" xfId="0" applyNumberFormat="1" applyFont="1" applyFill="1" applyBorder="1" applyAlignment="1" applyProtection="1">
      <alignment horizontal="center"/>
    </xf>
    <xf numFmtId="0" fontId="5" fillId="4" borderId="9" xfId="0" applyFont="1" applyFill="1" applyBorder="1" applyProtection="1"/>
    <xf numFmtId="166" fontId="5" fillId="0" borderId="9" xfId="0" applyNumberFormat="1" applyFont="1" applyBorder="1" applyProtection="1"/>
    <xf numFmtId="166" fontId="5" fillId="0" borderId="9" xfId="0" applyNumberFormat="1" applyFont="1" applyBorder="1" applyAlignment="1" applyProtection="1">
      <alignment horizontal="right"/>
      <protection locked="0"/>
    </xf>
    <xf numFmtId="0" fontId="9" fillId="0" borderId="9" xfId="0" applyFont="1" applyBorder="1" applyProtection="1"/>
    <xf numFmtId="166" fontId="5" fillId="0" borderId="10" xfId="0" applyNumberFormat="1" applyFont="1" applyBorder="1" applyProtection="1">
      <protection locked="0"/>
    </xf>
    <xf numFmtId="166" fontId="5" fillId="0" borderId="11" xfId="0" applyNumberFormat="1" applyFont="1" applyBorder="1" applyProtection="1">
      <protection locked="0"/>
    </xf>
    <xf numFmtId="166" fontId="5" fillId="2" borderId="0" xfId="0" applyNumberFormat="1" applyFont="1" applyFill="1" applyBorder="1" applyAlignment="1" applyProtection="1">
      <alignment horizontal="right"/>
      <protection locked="0"/>
    </xf>
    <xf numFmtId="0" fontId="5" fillId="4" borderId="12" xfId="0" applyFont="1" applyFill="1" applyBorder="1" applyAlignment="1" applyProtection="1">
      <alignment horizontal="left" vertical="center"/>
    </xf>
    <xf numFmtId="0" fontId="0" fillId="2" borderId="0" xfId="0" applyFill="1" applyBorder="1"/>
    <xf numFmtId="166" fontId="10" fillId="5" borderId="13" xfId="0" applyNumberFormat="1" applyFont="1" applyFill="1" applyBorder="1" applyAlignment="1" applyProtection="1">
      <alignment horizontal="center" wrapText="1"/>
    </xf>
    <xf numFmtId="166" fontId="10" fillId="5" borderId="14" xfId="0" applyNumberFormat="1" applyFont="1" applyFill="1" applyBorder="1" applyAlignment="1" applyProtection="1">
      <alignment horizontal="center" wrapText="1"/>
      <protection locked="0"/>
    </xf>
    <xf numFmtId="166" fontId="10" fillId="2" borderId="0" xfId="0" applyNumberFormat="1" applyFont="1" applyFill="1" applyBorder="1" applyAlignment="1" applyProtection="1">
      <alignment horizontal="center" vertical="center" wrapText="1"/>
    </xf>
    <xf numFmtId="0" fontId="0" fillId="2" borderId="0" xfId="0" applyFill="1" applyBorder="1" applyAlignment="1" applyProtection="1">
      <alignment horizontal="center"/>
    </xf>
    <xf numFmtId="166" fontId="5" fillId="2" borderId="0" xfId="0" applyNumberFormat="1" applyFont="1" applyFill="1" applyBorder="1" applyProtection="1">
      <protection locked="0"/>
    </xf>
    <xf numFmtId="166" fontId="5" fillId="0" borderId="15" xfId="0" applyNumberFormat="1" applyFont="1" applyBorder="1" applyProtection="1">
      <protection locked="0"/>
    </xf>
    <xf numFmtId="166" fontId="5" fillId="0" borderId="16" xfId="0" applyNumberFormat="1" applyFont="1" applyBorder="1" applyProtection="1">
      <protection locked="0"/>
    </xf>
    <xf numFmtId="166" fontId="5" fillId="5" borderId="13" xfId="0" applyNumberFormat="1" applyFont="1" applyFill="1" applyBorder="1" applyProtection="1"/>
    <xf numFmtId="166" fontId="5" fillId="5" borderId="17" xfId="0" applyNumberFormat="1" applyFont="1" applyFill="1" applyBorder="1" applyProtection="1"/>
    <xf numFmtId="166" fontId="5" fillId="5" borderId="14" xfId="0" applyNumberFormat="1" applyFont="1" applyFill="1" applyBorder="1" applyProtection="1">
      <protection locked="0"/>
    </xf>
    <xf numFmtId="166" fontId="5" fillId="2" borderId="0" xfId="0" applyNumberFormat="1" applyFont="1" applyFill="1" applyBorder="1" applyAlignment="1" applyProtection="1">
      <alignment horizontal="center"/>
    </xf>
    <xf numFmtId="0" fontId="0" fillId="2" borderId="0" xfId="0" applyFont="1" applyFill="1" applyBorder="1" applyAlignment="1" applyProtection="1">
      <alignment horizontal="center"/>
    </xf>
    <xf numFmtId="164" fontId="11" fillId="0" borderId="18" xfId="0" applyNumberFormat="1" applyFont="1" applyBorder="1" applyProtection="1"/>
    <xf numFmtId="167" fontId="12" fillId="6" borderId="19" xfId="0" applyNumberFormat="1" applyFont="1" applyFill="1" applyBorder="1" applyProtection="1"/>
    <xf numFmtId="166" fontId="8" fillId="5" borderId="13" xfId="0" applyNumberFormat="1" applyFont="1" applyFill="1" applyBorder="1" applyProtection="1"/>
    <xf numFmtId="0" fontId="12" fillId="5" borderId="17" xfId="0" applyFont="1" applyFill="1" applyBorder="1" applyProtection="1"/>
    <xf numFmtId="166" fontId="8" fillId="5" borderId="17" xfId="0" applyNumberFormat="1" applyFont="1" applyFill="1" applyBorder="1" applyProtection="1"/>
    <xf numFmtId="166" fontId="8" fillId="5" borderId="14" xfId="0" applyNumberFormat="1" applyFont="1" applyFill="1" applyBorder="1" applyAlignment="1" applyProtection="1">
      <alignment horizontal="center"/>
    </xf>
    <xf numFmtId="166" fontId="8" fillId="5" borderId="20" xfId="0" applyNumberFormat="1" applyFont="1" applyFill="1" applyBorder="1" applyProtection="1"/>
    <xf numFmtId="0" fontId="12" fillId="0" borderId="12" xfId="0" applyFont="1" applyBorder="1" applyProtection="1"/>
    <xf numFmtId="0" fontId="12" fillId="0" borderId="12" xfId="0" applyFont="1" applyBorder="1" applyAlignment="1" applyProtection="1">
      <alignment horizontal="center"/>
    </xf>
    <xf numFmtId="164" fontId="13" fillId="7" borderId="18" xfId="0" applyNumberFormat="1" applyFont="1" applyFill="1" applyBorder="1" applyProtection="1"/>
    <xf numFmtId="167" fontId="14" fillId="7" borderId="21" xfId="0" applyNumberFormat="1" applyFont="1" applyFill="1" applyBorder="1" applyAlignment="1" applyProtection="1"/>
    <xf numFmtId="167" fontId="14" fillId="7" borderId="22" xfId="0" applyNumberFormat="1" applyFont="1" applyFill="1" applyBorder="1" applyAlignment="1" applyProtection="1"/>
    <xf numFmtId="167" fontId="15" fillId="8" borderId="22" xfId="0" applyNumberFormat="1" applyFont="1" applyFill="1" applyBorder="1" applyAlignment="1" applyProtection="1"/>
    <xf numFmtId="0" fontId="15" fillId="8" borderId="22" xfId="0" applyFont="1" applyFill="1" applyBorder="1" applyAlignment="1" applyProtection="1">
      <alignment horizontal="left"/>
    </xf>
    <xf numFmtId="0" fontId="15" fillId="0" borderId="22" xfId="0" applyFont="1" applyBorder="1" applyAlignment="1" applyProtection="1">
      <alignment horizontal="center"/>
    </xf>
    <xf numFmtId="164" fontId="11" fillId="9" borderId="19" xfId="0" applyNumberFormat="1" applyFont="1" applyFill="1" applyBorder="1" applyProtection="1"/>
    <xf numFmtId="166" fontId="5" fillId="9" borderId="19" xfId="0" applyNumberFormat="1" applyFont="1" applyFill="1" applyBorder="1" applyProtection="1"/>
    <xf numFmtId="166" fontId="5" fillId="9" borderId="23" xfId="0" applyNumberFormat="1" applyFont="1" applyFill="1" applyBorder="1" applyProtection="1"/>
    <xf numFmtId="166" fontId="0" fillId="9" borderId="24" xfId="0" applyNumberFormat="1" applyFont="1" applyFill="1" applyBorder="1" applyProtection="1">
      <protection locked="0"/>
    </xf>
    <xf numFmtId="166" fontId="5" fillId="9" borderId="14" xfId="0" applyNumberFormat="1" applyFont="1" applyFill="1" applyBorder="1" applyProtection="1"/>
    <xf numFmtId="0" fontId="5" fillId="9" borderId="12" xfId="0" applyFont="1" applyFill="1" applyBorder="1" applyProtection="1"/>
    <xf numFmtId="0" fontId="5" fillId="0" borderId="19" xfId="0" applyFont="1" applyBorder="1" applyAlignment="1" applyProtection="1">
      <alignment horizontal="center"/>
    </xf>
    <xf numFmtId="164" fontId="11" fillId="0" borderId="25" xfId="0" applyNumberFormat="1" applyFont="1" applyBorder="1" applyProtection="1"/>
    <xf numFmtId="166" fontId="0" fillId="0" borderId="25" xfId="0" applyNumberFormat="1" applyFont="1" applyBorder="1" applyAlignment="1" applyProtection="1">
      <alignment horizontal="right"/>
    </xf>
    <xf numFmtId="166" fontId="0" fillId="0" borderId="26" xfId="0" applyNumberFormat="1" applyFont="1" applyBorder="1" applyProtection="1">
      <protection locked="0"/>
    </xf>
    <xf numFmtId="166" fontId="0" fillId="0" borderId="6" xfId="0" applyNumberFormat="1" applyFont="1" applyBorder="1" applyProtection="1">
      <protection locked="0"/>
    </xf>
    <xf numFmtId="166" fontId="0" fillId="0" borderId="27" xfId="0" applyNumberFormat="1" applyFont="1" applyBorder="1" applyProtection="1">
      <protection locked="0"/>
    </xf>
    <xf numFmtId="166" fontId="0" fillId="0" borderId="28" xfId="0" applyNumberFormat="1" applyFont="1" applyBorder="1" applyProtection="1">
      <protection locked="0"/>
    </xf>
    <xf numFmtId="0" fontId="0" fillId="0" borderId="29" xfId="0" applyFont="1" applyBorder="1" applyProtection="1"/>
    <xf numFmtId="0" fontId="0" fillId="0" borderId="27" xfId="0" applyFont="1" applyBorder="1" applyAlignment="1" applyProtection="1">
      <alignment horizontal="center"/>
    </xf>
    <xf numFmtId="166" fontId="0" fillId="0" borderId="18" xfId="0" applyNumberFormat="1" applyFont="1" applyBorder="1" applyAlignment="1" applyProtection="1">
      <alignment horizontal="right"/>
    </xf>
    <xf numFmtId="166" fontId="0" fillId="0" borderId="30" xfId="0" applyNumberFormat="1" applyFont="1" applyBorder="1" applyProtection="1">
      <protection locked="0"/>
    </xf>
    <xf numFmtId="166" fontId="0" fillId="0" borderId="31" xfId="0" applyNumberFormat="1" applyFont="1" applyBorder="1" applyProtection="1">
      <protection locked="0"/>
    </xf>
    <xf numFmtId="0" fontId="0" fillId="0" borderId="32" xfId="0" applyFont="1" applyBorder="1" applyProtection="1"/>
    <xf numFmtId="0" fontId="0" fillId="0" borderId="31" xfId="0" applyFont="1" applyBorder="1" applyAlignment="1" applyProtection="1">
      <alignment horizontal="center"/>
    </xf>
    <xf numFmtId="4" fontId="0" fillId="0" borderId="31" xfId="0" applyNumberFormat="1" applyFont="1" applyBorder="1" applyProtection="1">
      <protection locked="0"/>
    </xf>
    <xf numFmtId="0" fontId="0" fillId="0" borderId="30" xfId="0" applyFont="1" applyBorder="1" applyProtection="1">
      <protection locked="0"/>
    </xf>
    <xf numFmtId="0" fontId="11" fillId="0" borderId="32" xfId="0" applyFont="1" applyBorder="1" applyAlignment="1" applyProtection="1">
      <alignment horizontal="left" indent="7"/>
    </xf>
    <xf numFmtId="0" fontId="11" fillId="0" borderId="32" xfId="0" applyFont="1" applyBorder="1" applyProtection="1"/>
    <xf numFmtId="166" fontId="0" fillId="0" borderId="33" xfId="0" applyNumberFormat="1" applyFont="1" applyBorder="1" applyAlignment="1" applyProtection="1">
      <alignment horizontal="right"/>
    </xf>
    <xf numFmtId="166" fontId="0" fillId="0" borderId="24" xfId="0" applyNumberFormat="1" applyFont="1" applyBorder="1" applyProtection="1">
      <protection locked="0"/>
    </xf>
    <xf numFmtId="166" fontId="0" fillId="0" borderId="34" xfId="0" applyNumberFormat="1" applyFont="1" applyBorder="1" applyProtection="1">
      <protection locked="0"/>
    </xf>
    <xf numFmtId="166" fontId="0" fillId="0" borderId="35" xfId="0" applyNumberFormat="1" applyFont="1" applyBorder="1" applyProtection="1">
      <protection locked="0"/>
    </xf>
    <xf numFmtId="0" fontId="0" fillId="0" borderId="36" xfId="0" applyFont="1" applyBorder="1" applyProtection="1"/>
    <xf numFmtId="0" fontId="0" fillId="0" borderId="35" xfId="0" applyFont="1" applyBorder="1" applyAlignment="1" applyProtection="1">
      <alignment horizontal="center"/>
    </xf>
    <xf numFmtId="164" fontId="16" fillId="0" borderId="19" xfId="0" applyNumberFormat="1" applyFont="1" applyBorder="1" applyAlignment="1" applyProtection="1">
      <alignment horizontal="center" vertical="center" wrapText="1"/>
    </xf>
    <xf numFmtId="0" fontId="17" fillId="0" borderId="23" xfId="0" applyFont="1" applyBorder="1" applyAlignment="1" applyProtection="1">
      <alignment horizontal="center" vertical="center"/>
    </xf>
    <xf numFmtId="0" fontId="0" fillId="0" borderId="19" xfId="0" applyFont="1" applyBorder="1" applyAlignment="1" applyProtection="1">
      <alignment horizontal="center" vertical="center"/>
    </xf>
    <xf numFmtId="166" fontId="0" fillId="0" borderId="13" xfId="0" applyNumberFormat="1" applyFont="1" applyBorder="1" applyAlignment="1" applyProtection="1">
      <alignment horizontal="center" vertical="center"/>
    </xf>
    <xf numFmtId="0" fontId="18" fillId="0" borderId="20" xfId="0" applyFont="1" applyBorder="1" applyAlignment="1" applyProtection="1">
      <alignment horizontal="center"/>
    </xf>
    <xf numFmtId="0" fontId="18" fillId="0" borderId="17" xfId="0" applyFont="1" applyBorder="1" applyAlignment="1" applyProtection="1">
      <alignment horizontal="center"/>
    </xf>
    <xf numFmtId="0" fontId="18" fillId="0" borderId="14" xfId="0" applyFont="1" applyBorder="1" applyAlignment="1" applyProtection="1">
      <alignment horizont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wrapText="1"/>
    </xf>
    <xf numFmtId="0" fontId="5" fillId="0" borderId="12" xfId="0" applyFont="1" applyBorder="1" applyAlignment="1" applyProtection="1">
      <alignment horizontal="center"/>
    </xf>
    <xf numFmtId="166" fontId="9" fillId="9" borderId="19" xfId="0" applyNumberFormat="1" applyFont="1" applyFill="1" applyBorder="1" applyAlignment="1" applyProtection="1">
      <alignment horizontal="center"/>
    </xf>
    <xf numFmtId="0" fontId="5" fillId="5" borderId="39" xfId="0" applyFont="1" applyFill="1" applyBorder="1" applyProtection="1"/>
    <xf numFmtId="0" fontId="0" fillId="5" borderId="40" xfId="0" applyFill="1" applyBorder="1" applyAlignment="1" applyProtection="1">
      <alignment horizontal="center"/>
    </xf>
    <xf numFmtId="164" fontId="11" fillId="10" borderId="19" xfId="0" applyNumberFormat="1" applyFont="1" applyFill="1" applyBorder="1" applyProtection="1"/>
    <xf numFmtId="166" fontId="5" fillId="10" borderId="21" xfId="0" applyNumberFormat="1" applyFont="1" applyFill="1" applyBorder="1" applyAlignment="1" applyProtection="1">
      <alignment horizontal="right"/>
    </xf>
    <xf numFmtId="166" fontId="5" fillId="10" borderId="41" xfId="0" applyNumberFormat="1" applyFont="1" applyFill="1" applyBorder="1" applyAlignment="1" applyProtection="1">
      <alignment horizontal="right"/>
    </xf>
    <xf numFmtId="166" fontId="5" fillId="10" borderId="42" xfId="0" applyNumberFormat="1" applyFont="1" applyFill="1" applyBorder="1" applyAlignment="1" applyProtection="1">
      <alignment horizontal="right"/>
    </xf>
    <xf numFmtId="166" fontId="5" fillId="10" borderId="38" xfId="0" applyNumberFormat="1" applyFont="1" applyFill="1" applyBorder="1" applyAlignment="1" applyProtection="1">
      <alignment horizontal="right"/>
    </xf>
    <xf numFmtId="0" fontId="5" fillId="10" borderId="39" xfId="0" applyFont="1" applyFill="1" applyBorder="1" applyProtection="1"/>
    <xf numFmtId="166" fontId="0" fillId="0" borderId="43" xfId="0" applyNumberFormat="1" applyFont="1" applyBorder="1" applyAlignment="1" applyProtection="1">
      <alignment horizontal="right"/>
      <protection locked="0"/>
    </xf>
    <xf numFmtId="166" fontId="0" fillId="0" borderId="8" xfId="0" applyNumberFormat="1" applyFont="1" applyBorder="1" applyAlignment="1" applyProtection="1">
      <alignment horizontal="right"/>
      <protection locked="0"/>
    </xf>
    <xf numFmtId="166" fontId="0" fillId="0" borderId="44" xfId="0" applyNumberFormat="1" applyFont="1" applyBorder="1" applyAlignment="1" applyProtection="1">
      <alignment horizontal="right"/>
      <protection locked="0"/>
    </xf>
    <xf numFmtId="166" fontId="0" fillId="11" borderId="44" xfId="0" applyNumberFormat="1" applyFont="1" applyFill="1" applyBorder="1" applyAlignment="1" applyProtection="1">
      <alignment horizontal="right"/>
    </xf>
    <xf numFmtId="166" fontId="0" fillId="11" borderId="27" xfId="0" applyNumberFormat="1" applyFont="1" applyFill="1" applyBorder="1" applyAlignment="1" applyProtection="1">
      <alignment horizontal="right"/>
    </xf>
    <xf numFmtId="0" fontId="0" fillId="0" borderId="45" xfId="0" applyFont="1" applyBorder="1" applyAlignment="1" applyProtection="1">
      <alignment horizontal="left" indent="7"/>
    </xf>
    <xf numFmtId="0" fontId="0" fillId="0" borderId="46" xfId="0" applyFont="1" applyBorder="1" applyAlignment="1" applyProtection="1">
      <alignment horizontal="center"/>
    </xf>
    <xf numFmtId="166" fontId="0" fillId="0" borderId="47" xfId="0" applyNumberFormat="1" applyFont="1" applyBorder="1" applyAlignment="1" applyProtection="1">
      <alignment horizontal="right"/>
      <protection locked="0"/>
    </xf>
    <xf numFmtId="166" fontId="0" fillId="0" borderId="48" xfId="0" applyNumberFormat="1" applyFont="1" applyBorder="1" applyAlignment="1" applyProtection="1">
      <alignment horizontal="right"/>
      <protection locked="0"/>
    </xf>
    <xf numFmtId="166" fontId="0" fillId="0" borderId="9" xfId="0" applyNumberFormat="1" applyFont="1" applyBorder="1" applyAlignment="1" applyProtection="1">
      <alignment horizontal="right"/>
      <protection locked="0"/>
    </xf>
    <xf numFmtId="166" fontId="0" fillId="11" borderId="9" xfId="0" applyNumberFormat="1" applyFont="1" applyFill="1" applyBorder="1" applyAlignment="1" applyProtection="1">
      <alignment horizontal="right"/>
    </xf>
    <xf numFmtId="166" fontId="0" fillId="11" borderId="31" xfId="0" applyNumberFormat="1" applyFont="1" applyFill="1" applyBorder="1" applyAlignment="1" applyProtection="1">
      <alignment horizontal="right"/>
    </xf>
    <xf numFmtId="166" fontId="0" fillId="0" borderId="18" xfId="0" applyNumberFormat="1" applyFont="1" applyBorder="1" applyAlignment="1" applyProtection="1">
      <alignment horizontal="right"/>
      <protection locked="0"/>
    </xf>
    <xf numFmtId="166" fontId="0" fillId="12" borderId="9" xfId="0" applyNumberFormat="1" applyFont="1" applyFill="1" applyBorder="1" applyAlignment="1" applyProtection="1">
      <alignment horizontal="right"/>
      <protection locked="0"/>
    </xf>
    <xf numFmtId="166" fontId="19" fillId="0" borderId="9" xfId="0" applyNumberFormat="1" applyFont="1" applyBorder="1" applyAlignment="1" applyProtection="1">
      <alignment horizontal="right"/>
      <protection locked="0"/>
    </xf>
    <xf numFmtId="166" fontId="19" fillId="11" borderId="9" xfId="0" applyNumberFormat="1" applyFont="1" applyFill="1" applyBorder="1" applyAlignment="1" applyProtection="1">
      <alignment horizontal="right"/>
    </xf>
    <xf numFmtId="166" fontId="19" fillId="11" borderId="31" xfId="0" applyNumberFormat="1" applyFont="1" applyFill="1" applyBorder="1" applyAlignment="1" applyProtection="1">
      <alignment horizontal="right"/>
    </xf>
    <xf numFmtId="0" fontId="19" fillId="0" borderId="32" xfId="0" applyFont="1" applyBorder="1" applyProtection="1"/>
    <xf numFmtId="0" fontId="11" fillId="0" borderId="32" xfId="0" applyFont="1" applyBorder="1" applyAlignment="1" applyProtection="1">
      <alignment horizontal="left"/>
    </xf>
    <xf numFmtId="166" fontId="0" fillId="13" borderId="47" xfId="0" applyNumberFormat="1" applyFont="1" applyFill="1" applyBorder="1" applyAlignment="1" applyProtection="1">
      <alignment horizontal="right"/>
      <protection locked="0"/>
    </xf>
    <xf numFmtId="166" fontId="19" fillId="9" borderId="31" xfId="0" applyNumberFormat="1" applyFont="1" applyFill="1" applyBorder="1" applyAlignment="1" applyProtection="1">
      <alignment horizontal="right"/>
      <protection locked="0"/>
    </xf>
    <xf numFmtId="0" fontId="11" fillId="9" borderId="32" xfId="0" applyFont="1" applyFill="1" applyBorder="1" applyProtection="1"/>
    <xf numFmtId="166" fontId="0" fillId="13" borderId="18" xfId="0" applyNumberFormat="1" applyFont="1" applyFill="1" applyBorder="1" applyAlignment="1" applyProtection="1">
      <alignment horizontal="right"/>
      <protection locked="0"/>
    </xf>
    <xf numFmtId="166" fontId="0" fillId="14" borderId="31" xfId="0" applyNumberFormat="1" applyFont="1" applyFill="1" applyBorder="1" applyAlignment="1" applyProtection="1">
      <alignment horizontal="right"/>
      <protection locked="0"/>
    </xf>
    <xf numFmtId="0" fontId="0" fillId="14" borderId="32" xfId="0" applyFont="1" applyFill="1" applyBorder="1" applyProtection="1"/>
    <xf numFmtId="166" fontId="0" fillId="0" borderId="3" xfId="0" applyNumberFormat="1" applyFont="1" applyBorder="1" applyAlignment="1" applyProtection="1">
      <alignment horizontal="right"/>
      <protection locked="0"/>
    </xf>
    <xf numFmtId="166" fontId="0" fillId="0" borderId="49" xfId="0" applyNumberFormat="1" applyFont="1" applyBorder="1" applyAlignment="1" applyProtection="1">
      <alignment horizontal="right"/>
      <protection locked="0"/>
    </xf>
    <xf numFmtId="166" fontId="0" fillId="11" borderId="49" xfId="0" applyNumberFormat="1" applyFont="1" applyFill="1" applyBorder="1" applyAlignment="1" applyProtection="1">
      <alignment horizontal="right"/>
    </xf>
    <xf numFmtId="166" fontId="0" fillId="11" borderId="50" xfId="0" applyNumberFormat="1" applyFont="1" applyFill="1" applyBorder="1" applyAlignment="1" applyProtection="1">
      <alignment horizontal="right"/>
    </xf>
    <xf numFmtId="164" fontId="5" fillId="0" borderId="19" xfId="0" applyNumberFormat="1"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0" fillId="0" borderId="19" xfId="0" applyFont="1" applyBorder="1" applyAlignment="1" applyProtection="1">
      <alignment horizontal="center" vertical="center" wrapText="1"/>
    </xf>
    <xf numFmtId="0" fontId="20" fillId="0" borderId="17" xfId="0" applyFont="1" applyBorder="1" applyAlignment="1" applyProtection="1">
      <alignment horizontal="center"/>
    </xf>
    <xf numFmtId="0" fontId="20" fillId="0" borderId="14" xfId="0" applyFont="1" applyBorder="1" applyAlignment="1" applyProtection="1">
      <alignment horizontal="center"/>
    </xf>
    <xf numFmtId="0" fontId="5" fillId="5" borderId="13" xfId="0" applyFont="1" applyFill="1" applyBorder="1" applyAlignment="1" applyProtection="1">
      <alignment horizontal="center" vertical="center"/>
    </xf>
    <xf numFmtId="0" fontId="5" fillId="5" borderId="14" xfId="0" applyFont="1" applyFill="1" applyBorder="1" applyAlignment="1" applyProtection="1">
      <alignment horizontal="center" vertical="center" wrapText="1"/>
    </xf>
    <xf numFmtId="0" fontId="0" fillId="0" borderId="14" xfId="0" applyFont="1" applyBorder="1" applyAlignment="1" applyProtection="1">
      <alignment horizont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wrapText="1"/>
    </xf>
    <xf numFmtId="0" fontId="5" fillId="10" borderId="19" xfId="0" applyFont="1" applyFill="1" applyBorder="1" applyAlignment="1" applyProtection="1">
      <alignment horizontal="center" vertical="center" wrapText="1"/>
    </xf>
    <xf numFmtId="0" fontId="5" fillId="12" borderId="21" xfId="0" applyFont="1" applyFill="1" applyBorder="1" applyAlignment="1" applyProtection="1">
      <alignment horizontal="center" vertical="center" wrapText="1"/>
    </xf>
    <xf numFmtId="0" fontId="5" fillId="12" borderId="39" xfId="0" applyFont="1" applyFill="1" applyBorder="1" applyAlignment="1" applyProtection="1">
      <alignment horizontal="center" vertical="center" wrapText="1"/>
    </xf>
    <xf numFmtId="0" fontId="15" fillId="0" borderId="23" xfId="0" applyFont="1" applyBorder="1" applyAlignment="1" applyProtection="1">
      <alignment horizontal="center" vertical="center"/>
    </xf>
    <xf numFmtId="164" fontId="0" fillId="2" borderId="0" xfId="0" applyNumberFormat="1" applyFont="1" applyFill="1" applyProtection="1"/>
    <xf numFmtId="0" fontId="0" fillId="0" borderId="0" xfId="0" applyFont="1" applyBorder="1" applyAlignment="1" applyProtection="1">
      <alignment horizontal="left"/>
      <protection locked="0"/>
    </xf>
    <xf numFmtId="0" fontId="11" fillId="2" borderId="0" xfId="0" applyFont="1" applyFill="1" applyProtection="1"/>
    <xf numFmtId="49" fontId="5" fillId="0" borderId="0" xfId="0" applyNumberFormat="1" applyFont="1" applyAlignment="1" applyProtection="1">
      <alignment horizontal="left"/>
      <protection locked="0"/>
    </xf>
    <xf numFmtId="0" fontId="21" fillId="0" borderId="0" xfId="0" applyFont="1" applyBorder="1" applyAlignment="1" applyProtection="1">
      <alignment horizontal="left"/>
      <protection locked="0"/>
    </xf>
    <xf numFmtId="0" fontId="21" fillId="2" borderId="0" xfId="0" applyFont="1" applyFill="1" applyProtection="1"/>
    <xf numFmtId="0" fontId="1" fillId="0" borderId="0" xfId="2" applyFill="1"/>
    <xf numFmtId="0" fontId="1" fillId="0" borderId="0" xfId="2"/>
    <xf numFmtId="10" fontId="1" fillId="0" borderId="0" xfId="2" applyNumberFormat="1" applyFont="1"/>
    <xf numFmtId="0" fontId="1" fillId="15" borderId="0" xfId="2" applyFill="1"/>
    <xf numFmtId="0" fontId="4" fillId="15" borderId="0" xfId="2" applyFont="1" applyFill="1" applyBorder="1" applyAlignment="1" applyProtection="1">
      <alignment horizontal="left"/>
    </xf>
    <xf numFmtId="0" fontId="1" fillId="15" borderId="0" xfId="2" applyFill="1" applyProtection="1"/>
    <xf numFmtId="0" fontId="4" fillId="16" borderId="0" xfId="2" applyFont="1" applyFill="1" applyBorder="1" applyAlignment="1" applyProtection="1">
      <alignment horizontal="left"/>
    </xf>
    <xf numFmtId="0" fontId="4" fillId="0" borderId="0" xfId="2" applyFont="1" applyFill="1" applyBorder="1" applyAlignment="1" applyProtection="1">
      <alignment horizontal="left"/>
    </xf>
    <xf numFmtId="0" fontId="4" fillId="16" borderId="0" xfId="2" applyFont="1" applyFill="1" applyBorder="1" applyAlignment="1" applyProtection="1">
      <alignment horizontal="left"/>
      <protection locked="0"/>
    </xf>
    <xf numFmtId="0" fontId="4" fillId="0" borderId="0" xfId="2" applyFont="1" applyFill="1" applyBorder="1" applyAlignment="1" applyProtection="1">
      <alignment horizontal="left"/>
      <protection locked="0"/>
    </xf>
    <xf numFmtId="14" fontId="4" fillId="16" borderId="0" xfId="2" applyNumberFormat="1" applyFont="1" applyFill="1" applyBorder="1" applyAlignment="1" applyProtection="1">
      <alignment horizontal="left"/>
      <protection locked="0"/>
    </xf>
    <xf numFmtId="0" fontId="4" fillId="15" borderId="0" xfId="2" applyFont="1" applyFill="1" applyBorder="1" applyAlignment="1" applyProtection="1">
      <alignment horizontal="left"/>
      <protection locked="0"/>
    </xf>
    <xf numFmtId="0" fontId="22" fillId="15" borderId="0" xfId="1" applyFont="1" applyFill="1" applyBorder="1" applyProtection="1"/>
    <xf numFmtId="0" fontId="22" fillId="15" borderId="0" xfId="2" applyFont="1" applyFill="1" applyBorder="1"/>
    <xf numFmtId="0" fontId="1" fillId="15" borderId="0" xfId="2" applyFill="1" applyBorder="1" applyProtection="1"/>
    <xf numFmtId="0" fontId="1" fillId="0" borderId="4" xfId="2" applyFill="1" applyBorder="1"/>
    <xf numFmtId="0" fontId="1" fillId="0" borderId="0" xfId="2" applyFill="1" applyBorder="1"/>
    <xf numFmtId="0" fontId="4" fillId="0" borderId="0" xfId="2" applyFont="1" applyFill="1" applyBorder="1" applyAlignment="1" applyProtection="1">
      <alignment horizontal="left"/>
      <protection locked="0"/>
    </xf>
    <xf numFmtId="0" fontId="4" fillId="0" borderId="5" xfId="2" applyFont="1" applyFill="1" applyBorder="1" applyAlignment="1" applyProtection="1">
      <alignment horizontal="left"/>
      <protection locked="0"/>
    </xf>
    <xf numFmtId="0" fontId="4" fillId="0" borderId="5" xfId="2" applyFont="1" applyFill="1" applyBorder="1" applyAlignment="1" applyProtection="1">
      <alignment horizontal="left"/>
      <protection locked="0"/>
    </xf>
    <xf numFmtId="0" fontId="1" fillId="0" borderId="5" xfId="2" applyFill="1" applyBorder="1"/>
    <xf numFmtId="0" fontId="1" fillId="0" borderId="6" xfId="2" applyFill="1" applyBorder="1"/>
    <xf numFmtId="0" fontId="1" fillId="0" borderId="7" xfId="2" applyFill="1" applyBorder="1"/>
    <xf numFmtId="166" fontId="4" fillId="0" borderId="7" xfId="2" applyNumberFormat="1" applyFont="1" applyFill="1" applyBorder="1" applyAlignment="1" applyProtection="1">
      <alignment horizontal="left"/>
      <protection locked="0"/>
    </xf>
    <xf numFmtId="0" fontId="4" fillId="17" borderId="7" xfId="2" applyFont="1" applyFill="1" applyBorder="1" applyAlignment="1" applyProtection="1">
      <alignment horizontal="left"/>
    </xf>
    <xf numFmtId="0" fontId="4" fillId="17" borderId="8" xfId="2" applyFont="1" applyFill="1" applyBorder="1" applyAlignment="1" applyProtection="1">
      <alignment horizontal="left"/>
    </xf>
    <xf numFmtId="166" fontId="23" fillId="15" borderId="0" xfId="2" applyNumberFormat="1" applyFont="1" applyFill="1" applyBorder="1" applyAlignment="1" applyProtection="1">
      <alignment horizontal="right"/>
    </xf>
    <xf numFmtId="166" fontId="4" fillId="15" borderId="0" xfId="2" applyNumberFormat="1" applyFont="1" applyFill="1" applyBorder="1" applyProtection="1"/>
    <xf numFmtId="0" fontId="4" fillId="15" borderId="0" xfId="2" applyFont="1" applyFill="1" applyBorder="1" applyProtection="1"/>
    <xf numFmtId="0" fontId="4" fillId="15" borderId="0" xfId="2" applyFont="1" applyFill="1" applyBorder="1" applyAlignment="1" applyProtection="1">
      <alignment horizontal="center"/>
    </xf>
    <xf numFmtId="166" fontId="4" fillId="0" borderId="9" xfId="2" applyNumberFormat="1" applyFont="1" applyFill="1" applyBorder="1" applyProtection="1">
      <protection locked="0"/>
    </xf>
    <xf numFmtId="0" fontId="4" fillId="0" borderId="9" xfId="2" applyFont="1" applyFill="1" applyBorder="1" applyProtection="1"/>
    <xf numFmtId="166" fontId="4" fillId="17" borderId="9" xfId="2" applyNumberFormat="1" applyFont="1" applyFill="1" applyBorder="1" applyAlignment="1" applyProtection="1">
      <alignment horizontal="center"/>
    </xf>
    <xf numFmtId="0" fontId="4" fillId="17" borderId="9" xfId="2" applyFont="1" applyFill="1" applyBorder="1" applyProtection="1"/>
    <xf numFmtId="166" fontId="4" fillId="0" borderId="9" xfId="2" applyNumberFormat="1" applyFont="1" applyFill="1" applyBorder="1" applyProtection="1"/>
    <xf numFmtId="166" fontId="4" fillId="0" borderId="9" xfId="2" applyNumberFormat="1" applyFont="1" applyFill="1" applyBorder="1" applyAlignment="1" applyProtection="1">
      <alignment horizontal="right"/>
      <protection locked="0"/>
    </xf>
    <xf numFmtId="166" fontId="4" fillId="0" borderId="9" xfId="2" applyNumberFormat="1" applyFont="1" applyBorder="1" applyAlignment="1" applyProtection="1">
      <alignment horizontal="right"/>
      <protection locked="0"/>
    </xf>
    <xf numFmtId="0" fontId="24" fillId="0" borderId="9" xfId="2" applyFont="1" applyFill="1" applyBorder="1" applyProtection="1"/>
    <xf numFmtId="166" fontId="4" fillId="0" borderId="10" xfId="2" applyNumberFormat="1" applyFont="1" applyFill="1" applyBorder="1" applyProtection="1">
      <protection locked="0"/>
    </xf>
    <xf numFmtId="166" fontId="4" fillId="0" borderId="11" xfId="2" applyNumberFormat="1" applyFont="1" applyFill="1" applyBorder="1" applyProtection="1">
      <protection locked="0"/>
    </xf>
    <xf numFmtId="166" fontId="4" fillId="15" borderId="0" xfId="2" applyNumberFormat="1" applyFont="1" applyFill="1" applyBorder="1" applyAlignment="1" applyProtection="1">
      <alignment horizontal="right"/>
      <protection locked="0"/>
    </xf>
    <xf numFmtId="0" fontId="4" fillId="17" borderId="51" xfId="2" applyFont="1" applyFill="1" applyBorder="1" applyAlignment="1" applyProtection="1">
      <alignment horizontal="left" vertical="center"/>
    </xf>
    <xf numFmtId="0" fontId="1" fillId="15" borderId="0" xfId="2" applyFill="1" applyBorder="1"/>
    <xf numFmtId="166" fontId="25" fillId="18" borderId="13" xfId="2" applyNumberFormat="1" applyFont="1" applyFill="1" applyBorder="1" applyAlignment="1" applyProtection="1">
      <alignment horizontal="center" wrapText="1"/>
    </xf>
    <xf numFmtId="166" fontId="25" fillId="18" borderId="14" xfId="2" applyNumberFormat="1" applyFont="1" applyFill="1" applyBorder="1" applyAlignment="1" applyProtection="1">
      <alignment horizontal="center" wrapText="1"/>
      <protection locked="0"/>
    </xf>
    <xf numFmtId="166" fontId="25" fillId="15" borderId="0" xfId="2" applyNumberFormat="1" applyFont="1" applyFill="1" applyBorder="1" applyAlignment="1" applyProtection="1">
      <alignment horizontal="center" vertical="center" wrapText="1"/>
    </xf>
    <xf numFmtId="0" fontId="4" fillId="17" borderId="40" xfId="2" applyFont="1" applyFill="1" applyBorder="1" applyAlignment="1" applyProtection="1">
      <alignment horizontal="left" vertical="center"/>
    </xf>
    <xf numFmtId="0" fontId="1" fillId="15" borderId="0" xfId="2" applyFill="1" applyBorder="1" applyAlignment="1" applyProtection="1">
      <alignment horizontal="center"/>
    </xf>
    <xf numFmtId="166" fontId="4" fillId="15" borderId="0" xfId="2" applyNumberFormat="1" applyFont="1" applyFill="1" applyBorder="1" applyProtection="1">
      <protection locked="0"/>
    </xf>
    <xf numFmtId="166" fontId="4" fillId="0" borderId="15" xfId="2" applyNumberFormat="1" applyFont="1" applyFill="1" applyBorder="1" applyProtection="1">
      <protection locked="0"/>
    </xf>
    <xf numFmtId="166" fontId="4" fillId="0" borderId="16" xfId="2" applyNumberFormat="1" applyFont="1" applyFill="1" applyBorder="1" applyProtection="1">
      <protection locked="0"/>
    </xf>
    <xf numFmtId="0" fontId="4" fillId="17" borderId="52" xfId="2" applyFont="1" applyFill="1" applyBorder="1" applyAlignment="1" applyProtection="1">
      <alignment horizontal="left" vertical="center"/>
    </xf>
    <xf numFmtId="166" fontId="4" fillId="18" borderId="13" xfId="2" applyNumberFormat="1" applyFont="1" applyFill="1" applyBorder="1" applyProtection="1"/>
    <xf numFmtId="166" fontId="4" fillId="18" borderId="17" xfId="2" applyNumberFormat="1" applyFont="1" applyFill="1" applyBorder="1" applyProtection="1"/>
    <xf numFmtId="166" fontId="4" fillId="18" borderId="14" xfId="2" applyNumberFormat="1" applyFont="1" applyFill="1" applyBorder="1" applyProtection="1">
      <protection locked="0"/>
    </xf>
    <xf numFmtId="166" fontId="4" fillId="15" borderId="0" xfId="2" applyNumberFormat="1" applyFont="1" applyFill="1" applyBorder="1" applyAlignment="1" applyProtection="1">
      <alignment horizontal="center"/>
    </xf>
    <xf numFmtId="0" fontId="1" fillId="15" borderId="0" xfId="2" applyFont="1" applyFill="1" applyBorder="1" applyAlignment="1" applyProtection="1">
      <alignment horizontal="center"/>
    </xf>
    <xf numFmtId="10" fontId="26" fillId="0" borderId="18" xfId="2" applyNumberFormat="1" applyFont="1" applyFill="1" applyBorder="1" applyProtection="1"/>
    <xf numFmtId="167" fontId="27" fillId="19" borderId="19" xfId="2" applyNumberFormat="1" applyFont="1" applyFill="1" applyBorder="1" applyProtection="1"/>
    <xf numFmtId="166" fontId="23" fillId="18" borderId="13" xfId="2" applyNumberFormat="1" applyFont="1" applyFill="1" applyBorder="1" applyProtection="1"/>
    <xf numFmtId="0" fontId="27" fillId="18" borderId="17" xfId="2" applyFont="1" applyFill="1" applyBorder="1" applyProtection="1"/>
    <xf numFmtId="166" fontId="23" fillId="18" borderId="17" xfId="2" applyNumberFormat="1" applyFont="1" applyFill="1" applyBorder="1" applyProtection="1"/>
    <xf numFmtId="166" fontId="23" fillId="18" borderId="14" xfId="2" applyNumberFormat="1" applyFont="1" applyFill="1" applyBorder="1" applyAlignment="1" applyProtection="1">
      <alignment horizontal="center"/>
    </xf>
    <xf numFmtId="166" fontId="23" fillId="18" borderId="20" xfId="2" applyNumberFormat="1" applyFont="1" applyFill="1" applyBorder="1" applyProtection="1"/>
    <xf numFmtId="0" fontId="27" fillId="0" borderId="12" xfId="2" applyFont="1" applyBorder="1" applyProtection="1"/>
    <xf numFmtId="0" fontId="27" fillId="0" borderId="12" xfId="2" applyFont="1" applyFill="1" applyBorder="1" applyAlignment="1" applyProtection="1">
      <alignment horizontal="center"/>
    </xf>
    <xf numFmtId="10" fontId="2" fillId="20" borderId="18" xfId="2" applyNumberFormat="1" applyFont="1" applyFill="1" applyBorder="1" applyProtection="1"/>
    <xf numFmtId="167" fontId="28" fillId="20" borderId="21" xfId="2" applyNumberFormat="1" applyFont="1" applyFill="1" applyBorder="1" applyAlignment="1" applyProtection="1"/>
    <xf numFmtId="167" fontId="28" fillId="20" borderId="22" xfId="2" applyNumberFormat="1" applyFont="1" applyFill="1" applyBorder="1" applyAlignment="1" applyProtection="1"/>
    <xf numFmtId="167" fontId="29" fillId="21" borderId="22" xfId="2" applyNumberFormat="1" applyFont="1" applyFill="1" applyBorder="1" applyAlignment="1" applyProtection="1"/>
    <xf numFmtId="0" fontId="29" fillId="21" borderId="22" xfId="2" applyFont="1" applyFill="1" applyBorder="1" applyAlignment="1" applyProtection="1">
      <alignment horizontal="left"/>
    </xf>
    <xf numFmtId="0" fontId="29" fillId="0" borderId="22" xfId="2" applyFont="1" applyFill="1" applyBorder="1" applyAlignment="1" applyProtection="1">
      <alignment horizontal="center"/>
    </xf>
    <xf numFmtId="10" fontId="26" fillId="22" borderId="19" xfId="2" applyNumberFormat="1" applyFont="1" applyFill="1" applyBorder="1" applyProtection="1"/>
    <xf numFmtId="166" fontId="4" fillId="22" borderId="19" xfId="2" applyNumberFormat="1" applyFont="1" applyFill="1" applyBorder="1" applyProtection="1"/>
    <xf numFmtId="166" fontId="4" fillId="22" borderId="23" xfId="2" applyNumberFormat="1" applyFont="1" applyFill="1" applyBorder="1" applyProtection="1"/>
    <xf numFmtId="166" fontId="1" fillId="22" borderId="24" xfId="2" applyNumberFormat="1" applyFont="1" applyFill="1" applyBorder="1" applyProtection="1">
      <protection locked="0"/>
    </xf>
    <xf numFmtId="166" fontId="4" fillId="22" borderId="14" xfId="2" applyNumberFormat="1" applyFont="1" applyFill="1" applyBorder="1" applyProtection="1"/>
    <xf numFmtId="0" fontId="4" fillId="22" borderId="12" xfId="2" applyFont="1" applyFill="1" applyBorder="1" applyProtection="1"/>
    <xf numFmtId="0" fontId="4" fillId="0" borderId="19" xfId="2" applyFont="1" applyFill="1" applyBorder="1" applyAlignment="1" applyProtection="1">
      <alignment horizontal="center"/>
    </xf>
    <xf numFmtId="10" fontId="26" fillId="0" borderId="25" xfId="2" applyNumberFormat="1" applyFont="1" applyFill="1" applyBorder="1" applyProtection="1"/>
    <xf numFmtId="166" fontId="1" fillId="0" borderId="25" xfId="2" applyNumberFormat="1" applyFont="1" applyFill="1" applyBorder="1" applyAlignment="1" applyProtection="1">
      <alignment horizontal="right"/>
    </xf>
    <xf numFmtId="166" fontId="1" fillId="0" borderId="26" xfId="2" applyNumberFormat="1" applyFont="1" applyBorder="1" applyProtection="1">
      <protection locked="0"/>
    </xf>
    <xf numFmtId="166" fontId="1" fillId="0" borderId="6" xfId="2" applyNumberFormat="1" applyFont="1" applyBorder="1" applyProtection="1">
      <protection locked="0"/>
    </xf>
    <xf numFmtId="166" fontId="1" fillId="0" borderId="27" xfId="2" applyNumberFormat="1" applyFont="1" applyBorder="1" applyProtection="1">
      <protection locked="0"/>
    </xf>
    <xf numFmtId="166" fontId="1" fillId="0" borderId="26" xfId="2" applyNumberFormat="1" applyBorder="1" applyProtection="1">
      <protection locked="0"/>
    </xf>
    <xf numFmtId="166" fontId="1" fillId="0" borderId="6" xfId="2" applyNumberFormat="1" applyBorder="1" applyProtection="1">
      <protection locked="0"/>
    </xf>
    <xf numFmtId="166" fontId="1" fillId="0" borderId="27" xfId="2" applyNumberFormat="1" applyBorder="1" applyProtection="1">
      <protection locked="0"/>
    </xf>
    <xf numFmtId="166" fontId="1" fillId="0" borderId="25" xfId="2" applyNumberFormat="1" applyBorder="1" applyAlignment="1">
      <alignment horizontal="right"/>
    </xf>
    <xf numFmtId="166" fontId="1" fillId="0" borderId="28" xfId="2" applyNumberFormat="1" applyFont="1" applyBorder="1" applyProtection="1">
      <protection locked="0"/>
    </xf>
    <xf numFmtId="0" fontId="1" fillId="0" borderId="29" xfId="2" applyBorder="1" applyProtection="1"/>
    <xf numFmtId="0" fontId="1" fillId="0" borderId="27" xfId="2" applyFill="1" applyBorder="1" applyAlignment="1" applyProtection="1">
      <alignment horizontal="center"/>
    </xf>
    <xf numFmtId="166" fontId="1" fillId="0" borderId="18" xfId="2" applyNumberFormat="1" applyFont="1" applyFill="1" applyBorder="1" applyAlignment="1" applyProtection="1">
      <alignment horizontal="right"/>
    </xf>
    <xf numFmtId="166" fontId="1" fillId="0" borderId="30" xfId="2" applyNumberFormat="1" applyFont="1" applyBorder="1" applyProtection="1">
      <protection locked="0"/>
    </xf>
    <xf numFmtId="166" fontId="1" fillId="0" borderId="31" xfId="2" applyNumberFormat="1" applyFont="1" applyBorder="1" applyProtection="1">
      <protection locked="0"/>
    </xf>
    <xf numFmtId="166" fontId="1" fillId="0" borderId="28" xfId="2" applyNumberFormat="1" applyBorder="1" applyProtection="1">
      <protection locked="0"/>
    </xf>
    <xf numFmtId="166" fontId="1" fillId="0" borderId="30" xfId="2" applyNumberFormat="1" applyBorder="1" applyProtection="1">
      <protection locked="0"/>
    </xf>
    <xf numFmtId="166" fontId="1" fillId="0" borderId="31" xfId="2" applyNumberFormat="1" applyBorder="1" applyProtection="1">
      <protection locked="0"/>
    </xf>
    <xf numFmtId="166" fontId="1" fillId="0" borderId="18" xfId="2" applyNumberFormat="1" applyBorder="1" applyAlignment="1">
      <alignment horizontal="right"/>
    </xf>
    <xf numFmtId="0" fontId="1" fillId="0" borderId="32" xfId="2" applyBorder="1" applyProtection="1"/>
    <xf numFmtId="0" fontId="1" fillId="0" borderId="31" xfId="2" applyFill="1" applyBorder="1" applyAlignment="1" applyProtection="1">
      <alignment horizontal="center"/>
    </xf>
    <xf numFmtId="0" fontId="1" fillId="0" borderId="31" xfId="2" applyFont="1" applyBorder="1" applyProtection="1">
      <protection locked="0"/>
    </xf>
    <xf numFmtId="0" fontId="1" fillId="0" borderId="31" xfId="2" applyBorder="1" applyProtection="1">
      <protection locked="0"/>
    </xf>
    <xf numFmtId="0" fontId="1" fillId="0" borderId="30" xfId="2" applyFont="1" applyBorder="1" applyProtection="1">
      <protection locked="0"/>
    </xf>
    <xf numFmtId="0" fontId="26" fillId="0" borderId="32" xfId="2" applyFont="1" applyBorder="1" applyAlignment="1" applyProtection="1">
      <alignment horizontal="left" indent="5"/>
    </xf>
    <xf numFmtId="169" fontId="1" fillId="0" borderId="31" xfId="2" applyNumberFormat="1" applyFont="1" applyBorder="1" applyProtection="1">
      <protection locked="0"/>
    </xf>
    <xf numFmtId="0" fontId="26" fillId="0" borderId="32" xfId="2" applyFont="1" applyBorder="1" applyProtection="1"/>
    <xf numFmtId="166" fontId="1" fillId="0" borderId="28" xfId="2" applyNumberFormat="1" applyFont="1" applyFill="1" applyBorder="1" applyProtection="1">
      <protection locked="0"/>
    </xf>
    <xf numFmtId="166" fontId="1" fillId="0" borderId="30" xfId="2" applyNumberFormat="1" applyFont="1" applyFill="1" applyBorder="1" applyProtection="1">
      <protection locked="0"/>
    </xf>
    <xf numFmtId="166" fontId="1" fillId="0" borderId="31" xfId="2" applyNumberFormat="1" applyFont="1" applyFill="1" applyBorder="1" applyProtection="1">
      <protection locked="0"/>
    </xf>
    <xf numFmtId="0" fontId="1" fillId="0" borderId="32" xfId="2" applyFill="1" applyBorder="1" applyProtection="1"/>
    <xf numFmtId="166" fontId="1" fillId="0" borderId="33" xfId="2" applyNumberFormat="1" applyFont="1" applyFill="1" applyBorder="1" applyAlignment="1" applyProtection="1">
      <alignment horizontal="right"/>
    </xf>
    <xf numFmtId="166" fontId="1" fillId="0" borderId="24" xfId="2" applyNumberFormat="1" applyFont="1" applyBorder="1" applyProtection="1">
      <protection locked="0"/>
    </xf>
    <xf numFmtId="166" fontId="1" fillId="0" borderId="34" xfId="2" applyNumberFormat="1" applyFont="1" applyBorder="1" applyProtection="1">
      <protection locked="0"/>
    </xf>
    <xf numFmtId="166" fontId="1" fillId="0" borderId="35" xfId="2" applyNumberFormat="1" applyFont="1" applyBorder="1" applyProtection="1">
      <protection locked="0"/>
    </xf>
    <xf numFmtId="166" fontId="1" fillId="0" borderId="24" xfId="2" applyNumberFormat="1" applyBorder="1" applyProtection="1">
      <protection locked="0"/>
    </xf>
    <xf numFmtId="166" fontId="1" fillId="0" borderId="34" xfId="2" applyNumberFormat="1" applyBorder="1" applyProtection="1">
      <protection locked="0"/>
    </xf>
    <xf numFmtId="166" fontId="1" fillId="0" borderId="35" xfId="2" applyNumberFormat="1" applyBorder="1" applyProtection="1">
      <protection locked="0"/>
    </xf>
    <xf numFmtId="166" fontId="1" fillId="0" borderId="33" xfId="2" applyNumberFormat="1" applyBorder="1" applyAlignment="1">
      <alignment horizontal="right"/>
    </xf>
    <xf numFmtId="0" fontId="1" fillId="0" borderId="36" xfId="2" applyBorder="1" applyProtection="1"/>
    <xf numFmtId="0" fontId="1" fillId="0" borderId="35" xfId="2" applyFill="1" applyBorder="1" applyAlignment="1" applyProtection="1">
      <alignment horizontal="center"/>
    </xf>
    <xf numFmtId="10" fontId="30" fillId="0" borderId="51" xfId="2" applyNumberFormat="1" applyFont="1" applyFill="1" applyBorder="1" applyAlignment="1" applyProtection="1">
      <alignment horizontal="center" vertical="center" wrapText="1"/>
    </xf>
    <xf numFmtId="0" fontId="31" fillId="0" borderId="10" xfId="2" applyFont="1" applyFill="1" applyBorder="1" applyAlignment="1" applyProtection="1">
      <alignment horizontal="center" vertical="center"/>
    </xf>
    <xf numFmtId="0" fontId="1" fillId="0" borderId="51" xfId="2" applyFont="1" applyBorder="1" applyAlignment="1" applyProtection="1">
      <alignment horizontal="center" vertical="center"/>
    </xf>
    <xf numFmtId="166" fontId="1" fillId="0" borderId="15" xfId="2" applyNumberFormat="1" applyFont="1" applyBorder="1" applyAlignment="1" applyProtection="1">
      <alignment horizontal="center" vertical="center"/>
    </xf>
    <xf numFmtId="0" fontId="32" fillId="0" borderId="20" xfId="2" applyFont="1" applyBorder="1" applyAlignment="1" applyProtection="1">
      <alignment horizontal="center"/>
    </xf>
    <xf numFmtId="0" fontId="32" fillId="0" borderId="17" xfId="2" applyFont="1" applyBorder="1" applyAlignment="1" applyProtection="1">
      <alignment horizontal="center"/>
    </xf>
    <xf numFmtId="0" fontId="32" fillId="0" borderId="14" xfId="2" applyFont="1" applyBorder="1" applyAlignment="1" applyProtection="1">
      <alignment horizontal="center"/>
    </xf>
    <xf numFmtId="0" fontId="4" fillId="0" borderId="53" xfId="2" applyFont="1" applyBorder="1" applyAlignment="1" applyProtection="1">
      <alignment horizontal="center" vertical="center"/>
    </xf>
    <xf numFmtId="0" fontId="4" fillId="0" borderId="54" xfId="2" applyFont="1" applyFill="1" applyBorder="1" applyAlignment="1" applyProtection="1">
      <alignment horizontal="center" wrapText="1"/>
    </xf>
    <xf numFmtId="10" fontId="30" fillId="0" borderId="25" xfId="2" applyNumberFormat="1" applyFont="1" applyFill="1" applyBorder="1" applyAlignment="1" applyProtection="1">
      <alignment horizontal="center" vertical="center" wrapText="1"/>
    </xf>
    <xf numFmtId="0" fontId="31" fillId="0" borderId="55" xfId="2" applyFont="1" applyFill="1" applyBorder="1" applyAlignment="1" applyProtection="1">
      <alignment horizontal="center" vertical="center"/>
    </xf>
    <xf numFmtId="0" fontId="1" fillId="0" borderId="21" xfId="2" applyFont="1" applyBorder="1" applyAlignment="1" applyProtection="1">
      <alignment horizontal="center" vertical="center"/>
    </xf>
    <xf numFmtId="166" fontId="1" fillId="0" borderId="37" xfId="2" applyNumberFormat="1" applyFont="1" applyBorder="1" applyAlignment="1" applyProtection="1">
      <alignment horizontal="center" vertical="center"/>
    </xf>
    <xf numFmtId="0" fontId="4" fillId="0" borderId="56" xfId="2" applyFont="1" applyBorder="1" applyAlignment="1" applyProtection="1">
      <alignment horizontal="center"/>
    </xf>
    <xf numFmtId="0" fontId="4" fillId="0" borderId="12" xfId="2" applyFont="1" applyBorder="1" applyAlignment="1" applyProtection="1">
      <alignment horizontal="center"/>
    </xf>
    <xf numFmtId="0" fontId="4" fillId="0" borderId="37" xfId="2" applyFont="1" applyBorder="1" applyAlignment="1" applyProtection="1">
      <alignment horizontal="center" vertical="center"/>
    </xf>
    <xf numFmtId="0" fontId="4" fillId="0" borderId="38" xfId="2" applyFont="1" applyFill="1" applyBorder="1" applyAlignment="1" applyProtection="1">
      <alignment horizontal="center" wrapText="1"/>
    </xf>
    <xf numFmtId="10" fontId="30" fillId="0" borderId="21" xfId="2" applyNumberFormat="1" applyFont="1" applyFill="1" applyBorder="1" applyAlignment="1" applyProtection="1">
      <alignment horizontal="center" vertical="center" wrapText="1"/>
    </xf>
    <xf numFmtId="166" fontId="24" fillId="22" borderId="55" xfId="2" applyNumberFormat="1" applyFont="1" applyFill="1" applyBorder="1" applyAlignment="1" applyProtection="1">
      <alignment horizontal="center"/>
    </xf>
    <xf numFmtId="166" fontId="24" fillId="22" borderId="39" xfId="2" applyNumberFormat="1" applyFont="1" applyFill="1" applyBorder="1" applyAlignment="1" applyProtection="1">
      <alignment horizontal="center"/>
    </xf>
    <xf numFmtId="166" fontId="24" fillId="22" borderId="56" xfId="2" applyNumberFormat="1" applyFont="1" applyFill="1" applyBorder="1" applyAlignment="1" applyProtection="1">
      <alignment horizontal="center"/>
    </xf>
    <xf numFmtId="166" fontId="24" fillId="22" borderId="12" xfId="2" applyNumberFormat="1" applyFont="1" applyFill="1" applyBorder="1" applyAlignment="1" applyProtection="1">
      <alignment horizontal="center"/>
    </xf>
    <xf numFmtId="0" fontId="4" fillId="18" borderId="39" xfId="2" applyFont="1" applyFill="1" applyBorder="1" applyProtection="1"/>
    <xf numFmtId="0" fontId="1" fillId="18" borderId="40" xfId="2" applyFill="1" applyBorder="1" applyAlignment="1" applyProtection="1">
      <alignment horizontal="center"/>
    </xf>
    <xf numFmtId="10" fontId="26" fillId="23" borderId="19" xfId="2" applyNumberFormat="1" applyFont="1" applyFill="1" applyBorder="1" applyProtection="1"/>
    <xf numFmtId="166" fontId="4" fillId="23" borderId="21" xfId="2" applyNumberFormat="1" applyFont="1" applyFill="1" applyBorder="1" applyAlignment="1" applyProtection="1">
      <alignment horizontal="right"/>
    </xf>
    <xf numFmtId="166" fontId="4" fillId="23" borderId="41" xfId="2" applyNumberFormat="1" applyFont="1" applyFill="1" applyBorder="1" applyAlignment="1" applyProtection="1">
      <alignment horizontal="right"/>
    </xf>
    <xf numFmtId="166" fontId="4" fillId="23" borderId="42" xfId="2" applyNumberFormat="1" applyFont="1" applyFill="1" applyBorder="1" applyAlignment="1" applyProtection="1">
      <alignment horizontal="right"/>
    </xf>
    <xf numFmtId="166" fontId="4" fillId="23" borderId="38" xfId="2" applyNumberFormat="1" applyFont="1" applyFill="1" applyBorder="1" applyAlignment="1" applyProtection="1">
      <alignment horizontal="right"/>
    </xf>
    <xf numFmtId="0" fontId="4" fillId="23" borderId="39" xfId="2" applyFont="1" applyFill="1" applyBorder="1" applyProtection="1"/>
    <xf numFmtId="166" fontId="1" fillId="0" borderId="43" xfId="2" applyNumberFormat="1" applyFont="1" applyBorder="1" applyAlignment="1" applyProtection="1">
      <alignment horizontal="right"/>
      <protection locked="0"/>
    </xf>
    <xf numFmtId="166" fontId="1" fillId="0" borderId="8" xfId="2" applyNumberFormat="1" applyBorder="1" applyAlignment="1" applyProtection="1">
      <alignment horizontal="right"/>
      <protection locked="0"/>
    </xf>
    <xf numFmtId="166" fontId="1" fillId="0" borderId="44" xfId="2" applyNumberFormat="1" applyBorder="1" applyAlignment="1" applyProtection="1">
      <alignment horizontal="right"/>
      <protection locked="0"/>
    </xf>
    <xf numFmtId="166" fontId="1" fillId="24" borderId="44" xfId="2" applyNumberFormat="1" applyFill="1" applyBorder="1" applyAlignment="1">
      <alignment horizontal="right"/>
    </xf>
    <xf numFmtId="166" fontId="1" fillId="24" borderId="27" xfId="2" applyNumberFormat="1" applyFill="1" applyBorder="1" applyAlignment="1">
      <alignment horizontal="right"/>
    </xf>
    <xf numFmtId="166" fontId="1" fillId="0" borderId="8" xfId="2" applyNumberFormat="1" applyFont="1" applyFill="1" applyBorder="1" applyAlignment="1" applyProtection="1">
      <alignment horizontal="right"/>
      <protection locked="0"/>
    </xf>
    <xf numFmtId="166" fontId="1" fillId="0" borderId="44" xfId="2" applyNumberFormat="1" applyFont="1" applyBorder="1" applyAlignment="1" applyProtection="1">
      <alignment horizontal="right"/>
      <protection locked="0"/>
    </xf>
    <xf numFmtId="166" fontId="1" fillId="24" borderId="44" xfId="2" applyNumberFormat="1" applyFont="1" applyFill="1" applyBorder="1" applyAlignment="1" applyProtection="1">
      <alignment horizontal="right"/>
    </xf>
    <xf numFmtId="166" fontId="1" fillId="24" borderId="27" xfId="2" applyNumberFormat="1" applyFont="1" applyFill="1" applyBorder="1" applyAlignment="1" applyProtection="1">
      <alignment horizontal="right"/>
    </xf>
    <xf numFmtId="0" fontId="1" fillId="0" borderId="45" xfId="2" applyBorder="1" applyAlignment="1" applyProtection="1">
      <alignment horizontal="left" indent="5"/>
    </xf>
    <xf numFmtId="0" fontId="1" fillId="0" borderId="46" xfId="2" applyFill="1" applyBorder="1" applyAlignment="1" applyProtection="1">
      <alignment horizontal="center"/>
    </xf>
    <xf numFmtId="166" fontId="1" fillId="0" borderId="47" xfId="2" applyNumberFormat="1" applyFont="1" applyBorder="1" applyAlignment="1" applyProtection="1">
      <alignment horizontal="right"/>
      <protection locked="0"/>
    </xf>
    <xf numFmtId="166" fontId="1" fillId="0" borderId="48" xfId="2" applyNumberFormat="1" applyBorder="1" applyAlignment="1" applyProtection="1">
      <alignment horizontal="right"/>
      <protection locked="0"/>
    </xf>
    <xf numFmtId="166" fontId="1" fillId="0" borderId="9" xfId="2" applyNumberFormat="1" applyBorder="1" applyAlignment="1" applyProtection="1">
      <alignment horizontal="right"/>
      <protection locked="0"/>
    </xf>
    <xf numFmtId="166" fontId="1" fillId="24" borderId="9" xfId="2" applyNumberFormat="1" applyFill="1" applyBorder="1" applyAlignment="1">
      <alignment horizontal="right"/>
    </xf>
    <xf numFmtId="166" fontId="1" fillId="24" borderId="31" xfId="2" applyNumberFormat="1" applyFill="1" applyBorder="1" applyAlignment="1">
      <alignment horizontal="right"/>
    </xf>
    <xf numFmtId="166" fontId="1" fillId="0" borderId="48" xfId="2" applyNumberFormat="1" applyFont="1" applyFill="1" applyBorder="1" applyAlignment="1" applyProtection="1">
      <alignment horizontal="right"/>
      <protection locked="0"/>
    </xf>
    <xf numFmtId="166" fontId="1" fillId="0" borderId="9" xfId="2" applyNumberFormat="1" applyFont="1" applyBorder="1" applyAlignment="1" applyProtection="1">
      <alignment horizontal="right"/>
      <protection locked="0"/>
    </xf>
    <xf numFmtId="166" fontId="1" fillId="24" borderId="9" xfId="2" applyNumberFormat="1" applyFont="1" applyFill="1" applyBorder="1" applyAlignment="1" applyProtection="1">
      <alignment horizontal="right"/>
    </xf>
    <xf numFmtId="166" fontId="1" fillId="24" borderId="31" xfId="2" applyNumberFormat="1" applyFont="1" applyFill="1" applyBorder="1" applyAlignment="1" applyProtection="1">
      <alignment horizontal="right"/>
    </xf>
    <xf numFmtId="166" fontId="1" fillId="0" borderId="18" xfId="2" applyNumberFormat="1" applyFont="1" applyBorder="1" applyAlignment="1" applyProtection="1">
      <alignment horizontal="right"/>
      <protection locked="0"/>
    </xf>
    <xf numFmtId="0" fontId="33" fillId="0" borderId="32" xfId="2" applyFont="1" applyBorder="1" applyProtection="1"/>
    <xf numFmtId="166" fontId="3" fillId="0" borderId="9" xfId="2" applyNumberFormat="1" applyFont="1" applyBorder="1" applyAlignment="1" applyProtection="1">
      <alignment horizontal="right"/>
      <protection locked="0"/>
    </xf>
    <xf numFmtId="166" fontId="3" fillId="24" borderId="9" xfId="2" applyNumberFormat="1" applyFont="1" applyFill="1" applyBorder="1" applyAlignment="1">
      <alignment horizontal="right"/>
    </xf>
    <xf numFmtId="166" fontId="3" fillId="24" borderId="31" xfId="2" applyNumberFormat="1" applyFont="1" applyFill="1" applyBorder="1" applyAlignment="1">
      <alignment horizontal="right"/>
    </xf>
    <xf numFmtId="166" fontId="3" fillId="24" borderId="9" xfId="2" applyNumberFormat="1" applyFont="1" applyFill="1" applyBorder="1" applyAlignment="1" applyProtection="1">
      <alignment horizontal="right"/>
    </xf>
    <xf numFmtId="166" fontId="3" fillId="24" borderId="31" xfId="2" applyNumberFormat="1" applyFont="1" applyFill="1" applyBorder="1" applyAlignment="1" applyProtection="1">
      <alignment horizontal="right"/>
    </xf>
    <xf numFmtId="166" fontId="1" fillId="0" borderId="18" xfId="2" applyNumberFormat="1" applyFont="1" applyFill="1" applyBorder="1" applyAlignment="1" applyProtection="1">
      <alignment horizontal="right"/>
      <protection locked="0"/>
    </xf>
    <xf numFmtId="166" fontId="3" fillId="0" borderId="9" xfId="2" applyNumberFormat="1" applyFont="1" applyFill="1" applyBorder="1" applyAlignment="1" applyProtection="1">
      <alignment horizontal="right"/>
      <protection locked="0"/>
    </xf>
    <xf numFmtId="0" fontId="26" fillId="0" borderId="32" xfId="2" applyFont="1" applyFill="1" applyBorder="1" applyAlignment="1" applyProtection="1">
      <alignment horizontal="left"/>
    </xf>
    <xf numFmtId="166" fontId="1" fillId="25" borderId="47" xfId="2" applyNumberFormat="1" applyFont="1" applyFill="1" applyBorder="1" applyAlignment="1" applyProtection="1">
      <alignment horizontal="right"/>
      <protection locked="0"/>
    </xf>
    <xf numFmtId="166" fontId="3" fillId="22" borderId="31" xfId="2" applyNumberFormat="1" applyFont="1" applyFill="1" applyBorder="1" applyAlignment="1" applyProtection="1">
      <alignment horizontal="right"/>
      <protection locked="0"/>
    </xf>
    <xf numFmtId="0" fontId="26" fillId="22" borderId="32" xfId="2" applyFont="1" applyFill="1" applyBorder="1" applyProtection="1"/>
    <xf numFmtId="166" fontId="1" fillId="25" borderId="18" xfId="2" applyNumberFormat="1" applyFont="1" applyFill="1" applyBorder="1" applyAlignment="1" applyProtection="1">
      <alignment horizontal="right"/>
      <protection locked="0"/>
    </xf>
    <xf numFmtId="166" fontId="1" fillId="26" borderId="31" xfId="2" applyNumberFormat="1" applyFill="1" applyBorder="1" applyAlignment="1" applyProtection="1">
      <alignment horizontal="right"/>
      <protection locked="0"/>
    </xf>
    <xf numFmtId="166" fontId="1" fillId="26" borderId="31" xfId="2" applyNumberFormat="1" applyFont="1" applyFill="1" applyBorder="1" applyAlignment="1" applyProtection="1">
      <alignment horizontal="right"/>
      <protection locked="0"/>
    </xf>
    <xf numFmtId="0" fontId="1" fillId="26" borderId="32" xfId="2" applyFill="1" applyBorder="1" applyProtection="1"/>
    <xf numFmtId="166" fontId="1" fillId="0" borderId="3" xfId="2" applyNumberFormat="1" applyBorder="1" applyAlignment="1" applyProtection="1">
      <alignment horizontal="right"/>
      <protection locked="0"/>
    </xf>
    <xf numFmtId="166" fontId="1" fillId="0" borderId="49" xfId="2" applyNumberFormat="1" applyBorder="1" applyAlignment="1" applyProtection="1">
      <alignment horizontal="right"/>
      <protection locked="0"/>
    </xf>
    <xf numFmtId="166" fontId="1" fillId="24" borderId="49" xfId="2" applyNumberFormat="1" applyFill="1" applyBorder="1" applyAlignment="1">
      <alignment horizontal="right"/>
    </xf>
    <xf numFmtId="166" fontId="1" fillId="24" borderId="50" xfId="2" applyNumberFormat="1" applyFill="1" applyBorder="1" applyAlignment="1">
      <alignment horizontal="right"/>
    </xf>
    <xf numFmtId="166" fontId="1" fillId="0" borderId="3" xfId="2" applyNumberFormat="1" applyFont="1" applyFill="1" applyBorder="1" applyAlignment="1" applyProtection="1">
      <alignment horizontal="right"/>
      <protection locked="0"/>
    </xf>
    <xf numFmtId="166" fontId="1" fillId="0" borderId="49" xfId="2" applyNumberFormat="1" applyFont="1" applyFill="1" applyBorder="1" applyAlignment="1" applyProtection="1">
      <alignment horizontal="right"/>
      <protection locked="0"/>
    </xf>
    <xf numFmtId="166" fontId="1" fillId="24" borderId="49" xfId="2" applyNumberFormat="1" applyFont="1" applyFill="1" applyBorder="1" applyAlignment="1" applyProtection="1">
      <alignment horizontal="right"/>
    </xf>
    <xf numFmtId="166" fontId="1" fillId="24" borderId="50" xfId="2" applyNumberFormat="1" applyFont="1" applyFill="1" applyBorder="1" applyAlignment="1" applyProtection="1">
      <alignment horizontal="right"/>
    </xf>
    <xf numFmtId="0" fontId="1" fillId="0" borderId="36" xfId="2" applyFill="1" applyBorder="1" applyProtection="1"/>
    <xf numFmtId="10" fontId="4" fillId="0" borderId="51" xfId="2" applyNumberFormat="1" applyFont="1" applyBorder="1" applyAlignment="1" applyProtection="1">
      <alignment horizontal="center" vertical="center" wrapText="1"/>
    </xf>
    <xf numFmtId="0" fontId="4" fillId="0" borderId="51" xfId="2" applyFont="1" applyBorder="1" applyAlignment="1" applyProtection="1">
      <alignment horizontal="center" vertical="center" wrapText="1"/>
    </xf>
    <xf numFmtId="0" fontId="1" fillId="0" borderId="51" xfId="2" applyFont="1" applyBorder="1" applyAlignment="1" applyProtection="1">
      <alignment horizontal="center" vertical="center" wrapText="1"/>
    </xf>
    <xf numFmtId="166" fontId="1" fillId="0" borderId="15" xfId="2" applyNumberFormat="1" applyBorder="1" applyAlignment="1" applyProtection="1">
      <alignment horizontal="center" vertical="center"/>
    </xf>
    <xf numFmtId="0" fontId="34" fillId="0" borderId="17" xfId="2" applyFont="1" applyBorder="1" applyAlignment="1" applyProtection="1">
      <alignment horizontal="center"/>
    </xf>
    <xf numFmtId="0" fontId="34" fillId="0" borderId="14" xfId="2" applyFont="1" applyBorder="1" applyAlignment="1" applyProtection="1">
      <alignment horizontal="center"/>
    </xf>
    <xf numFmtId="0" fontId="4" fillId="18" borderId="13" xfId="2" applyFont="1" applyFill="1" applyBorder="1" applyAlignment="1" applyProtection="1">
      <alignment horizontal="center" vertical="center"/>
    </xf>
    <xf numFmtId="0" fontId="4" fillId="18" borderId="14" xfId="2" applyFont="1" applyFill="1" applyBorder="1" applyAlignment="1" applyProtection="1">
      <alignment horizontal="center" vertical="center" wrapText="1"/>
    </xf>
    <xf numFmtId="10" fontId="4" fillId="0" borderId="25" xfId="2" applyNumberFormat="1"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1" fillId="0" borderId="21" xfId="2" applyFont="1" applyBorder="1" applyAlignment="1" applyProtection="1">
      <alignment horizontal="center" vertical="center" wrapText="1"/>
    </xf>
    <xf numFmtId="166" fontId="1" fillId="0" borderId="37" xfId="2" applyNumberFormat="1" applyBorder="1" applyAlignment="1" applyProtection="1">
      <alignment horizontal="center" vertical="center"/>
    </xf>
    <xf numFmtId="0" fontId="1" fillId="0" borderId="17" xfId="2" applyBorder="1" applyAlignment="1" applyProtection="1">
      <alignment horizontal="center"/>
    </xf>
    <xf numFmtId="0" fontId="1" fillId="0" borderId="14" xfId="2" applyBorder="1" applyAlignment="1" applyProtection="1">
      <alignment horizontal="center"/>
    </xf>
    <xf numFmtId="0" fontId="4" fillId="0" borderId="57" xfId="2" applyFont="1" applyBorder="1" applyAlignment="1" applyProtection="1">
      <alignment horizontal="center" vertical="center"/>
    </xf>
    <xf numFmtId="0" fontId="4" fillId="0" borderId="11" xfId="2" applyFont="1" applyBorder="1" applyAlignment="1" applyProtection="1">
      <alignment horizontal="center" vertical="center" wrapText="1"/>
    </xf>
    <xf numFmtId="0" fontId="4" fillId="23" borderId="23" xfId="2" applyFont="1" applyFill="1" applyBorder="1" applyAlignment="1" applyProtection="1">
      <alignment horizontal="center" vertical="center" wrapText="1"/>
    </xf>
    <xf numFmtId="0" fontId="4" fillId="23" borderId="56" xfId="2" applyFont="1" applyFill="1" applyBorder="1" applyAlignment="1" applyProtection="1">
      <alignment horizontal="center" vertical="center" wrapText="1"/>
    </xf>
    <xf numFmtId="0" fontId="4" fillId="23" borderId="12" xfId="2" applyFont="1" applyFill="1" applyBorder="1" applyAlignment="1" applyProtection="1">
      <alignment horizontal="center" vertical="center" wrapText="1"/>
    </xf>
    <xf numFmtId="0" fontId="4" fillId="0" borderId="5" xfId="2" applyFont="1" applyBorder="1" applyAlignment="1" applyProtection="1">
      <alignment horizontal="center" vertical="center"/>
    </xf>
    <xf numFmtId="0" fontId="4" fillId="0" borderId="54" xfId="2" applyFont="1" applyBorder="1" applyAlignment="1" applyProtection="1">
      <alignment horizontal="center" vertical="center" wrapText="1"/>
    </xf>
    <xf numFmtId="0" fontId="4" fillId="27" borderId="21" xfId="2" applyFont="1" applyFill="1" applyBorder="1" applyAlignment="1" applyProtection="1">
      <alignment horizontal="center" vertical="center" wrapText="1"/>
    </xf>
    <xf numFmtId="0" fontId="4" fillId="27" borderId="41" xfId="2" applyFont="1" applyFill="1" applyBorder="1" applyAlignment="1" applyProtection="1">
      <alignment horizontal="center" vertical="center" wrapText="1"/>
    </xf>
    <xf numFmtId="0" fontId="4" fillId="27" borderId="42" xfId="2" applyFont="1" applyFill="1" applyBorder="1" applyAlignment="1" applyProtection="1">
      <alignment horizontal="center" vertical="center" wrapText="1"/>
    </xf>
    <xf numFmtId="0" fontId="4" fillId="27" borderId="58" xfId="2" applyFont="1" applyFill="1" applyBorder="1" applyAlignment="1" applyProtection="1">
      <alignment horizontal="center" vertical="center" wrapText="1"/>
    </xf>
    <xf numFmtId="10" fontId="4" fillId="0" borderId="21" xfId="2" applyNumberFormat="1" applyFont="1" applyBorder="1" applyAlignment="1" applyProtection="1">
      <alignment horizontal="center" vertical="center" wrapText="1"/>
    </xf>
    <xf numFmtId="0" fontId="29" fillId="0" borderId="13" xfId="2" applyFont="1" applyBorder="1" applyAlignment="1" applyProtection="1">
      <alignment horizontal="center" vertical="center"/>
    </xf>
    <xf numFmtId="0" fontId="29" fillId="0" borderId="17" xfId="2" applyFont="1" applyBorder="1" applyAlignment="1" applyProtection="1">
      <alignment horizontal="center" vertical="center"/>
    </xf>
    <xf numFmtId="0" fontId="29" fillId="0" borderId="59" xfId="2" applyFont="1" applyBorder="1" applyAlignment="1" applyProtection="1">
      <alignment horizontal="center" vertical="center"/>
    </xf>
    <xf numFmtId="0" fontId="4" fillId="0" borderId="38" xfId="2" applyFont="1" applyBorder="1" applyAlignment="1" applyProtection="1">
      <alignment horizontal="center" vertical="center" wrapText="1"/>
    </xf>
    <xf numFmtId="10" fontId="1" fillId="15" borderId="0" xfId="2" applyNumberFormat="1" applyFont="1" applyFill="1" applyProtection="1"/>
    <xf numFmtId="0" fontId="1" fillId="0" borderId="0" xfId="2" applyFont="1" applyFill="1" applyAlignment="1" applyProtection="1">
      <alignment horizontal="left"/>
      <protection locked="0"/>
    </xf>
    <xf numFmtId="0" fontId="26" fillId="15" borderId="0" xfId="2" applyFont="1" applyFill="1" applyProtection="1"/>
    <xf numFmtId="0" fontId="4" fillId="0" borderId="0" xfId="2" applyFont="1" applyFill="1" applyAlignment="1" applyProtection="1">
      <alignment horizontal="left"/>
      <protection locked="0"/>
    </xf>
    <xf numFmtId="0" fontId="35" fillId="0" borderId="0" xfId="2" applyFont="1" applyFill="1" applyAlignment="1" applyProtection="1">
      <alignment horizontal="left"/>
      <protection locked="0"/>
    </xf>
    <xf numFmtId="0" fontId="35" fillId="15" borderId="0" xfId="2" applyFont="1" applyFill="1" applyProtection="1"/>
    <xf numFmtId="0" fontId="1" fillId="0" borderId="1" xfId="2" applyFill="1" applyBorder="1"/>
    <xf numFmtId="0" fontId="1" fillId="0" borderId="2" xfId="2" applyFill="1" applyBorder="1"/>
    <xf numFmtId="0" fontId="4" fillId="0" borderId="2" xfId="2" applyFont="1" applyFill="1" applyBorder="1" applyAlignment="1" applyProtection="1">
      <alignment horizontal="left"/>
      <protection locked="0"/>
    </xf>
    <xf numFmtId="0" fontId="22" fillId="0" borderId="2" xfId="1" applyFont="1" applyBorder="1" applyProtection="1"/>
    <xf numFmtId="0" fontId="22" fillId="0" borderId="2" xfId="2" applyFont="1" applyFill="1" applyBorder="1"/>
    <xf numFmtId="0" fontId="22" fillId="0" borderId="3" xfId="1" applyFont="1" applyBorder="1" applyProtection="1"/>
    <xf numFmtId="0" fontId="22" fillId="0" borderId="0" xfId="1" applyFont="1" applyBorder="1" applyProtection="1"/>
    <xf numFmtId="0" fontId="22" fillId="0" borderId="0" xfId="2" applyFont="1" applyFill="1" applyBorder="1"/>
    <xf numFmtId="0" fontId="22" fillId="0" borderId="5" xfId="1" applyFont="1" applyBorder="1" applyProtection="1"/>
    <xf numFmtId="0" fontId="22" fillId="0" borderId="0" xfId="1" applyFont="1" applyFill="1" applyBorder="1" applyProtection="1"/>
    <xf numFmtId="0" fontId="22" fillId="0" borderId="5" xfId="1" applyFont="1" applyFill="1" applyBorder="1" applyProtection="1"/>
    <xf numFmtId="0" fontId="1" fillId="0" borderId="0" xfId="2" applyBorder="1"/>
    <xf numFmtId="10" fontId="26" fillId="0" borderId="47" xfId="2" applyNumberFormat="1" applyFont="1" applyFill="1" applyBorder="1" applyProtection="1"/>
    <xf numFmtId="166" fontId="1" fillId="0" borderId="47" xfId="2" applyNumberFormat="1" applyFont="1" applyFill="1" applyBorder="1" applyAlignment="1" applyProtection="1">
      <alignment horizontal="right"/>
    </xf>
    <xf numFmtId="0" fontId="1" fillId="0" borderId="5" xfId="2" applyFont="1" applyFill="1" applyBorder="1" applyAlignment="1" applyProtection="1">
      <alignment horizontal="left"/>
      <protection locked="0"/>
    </xf>
    <xf numFmtId="0" fontId="1" fillId="0" borderId="0" xfId="2" applyFont="1" applyFill="1" applyBorder="1" applyAlignment="1" applyProtection="1">
      <alignment horizontal="left"/>
      <protection locked="0"/>
    </xf>
    <xf numFmtId="0" fontId="1" fillId="0" borderId="0" xfId="2" applyFont="1" applyFill="1" applyBorder="1" applyAlignment="1" applyProtection="1">
      <alignment horizontal="left"/>
      <protection locked="0"/>
    </xf>
    <xf numFmtId="0" fontId="1" fillId="0" borderId="5" xfId="2" applyFont="1" applyFill="1" applyBorder="1" applyAlignment="1" applyProtection="1">
      <alignment horizontal="left"/>
      <protection locked="0"/>
    </xf>
    <xf numFmtId="0" fontId="1" fillId="0" borderId="0" xfId="2" applyAlignment="1">
      <alignment horizontal="left" vertical="top" wrapText="1"/>
    </xf>
    <xf numFmtId="0" fontId="4" fillId="0" borderId="0" xfId="2" applyFont="1" applyAlignment="1">
      <alignment wrapText="1"/>
    </xf>
    <xf numFmtId="0" fontId="4" fillId="0" borderId="5" xfId="2" applyFont="1" applyBorder="1" applyAlignment="1">
      <alignment wrapText="1"/>
    </xf>
    <xf numFmtId="0" fontId="4" fillId="0" borderId="0" xfId="2" applyFont="1" applyFill="1" applyBorder="1" applyAlignment="1" applyProtection="1">
      <alignment horizontal="left" vertical="top" wrapText="1"/>
      <protection locked="0"/>
    </xf>
    <xf numFmtId="0" fontId="4" fillId="0" borderId="5" xfId="2" applyFont="1" applyFill="1" applyBorder="1" applyAlignment="1">
      <alignment wrapText="1"/>
    </xf>
    <xf numFmtId="167" fontId="1" fillId="15" borderId="0" xfId="2" applyNumberFormat="1" applyFill="1"/>
    <xf numFmtId="4" fontId="1" fillId="0" borderId="6" xfId="2" applyNumberFormat="1" applyFont="1" applyBorder="1" applyProtection="1">
      <protection locked="0"/>
    </xf>
    <xf numFmtId="4" fontId="1" fillId="0" borderId="31" xfId="2" applyNumberFormat="1" applyFont="1" applyBorder="1" applyProtection="1">
      <protection locked="0"/>
    </xf>
    <xf numFmtId="4" fontId="1" fillId="0" borderId="30" xfId="2" applyNumberFormat="1" applyFont="1" applyBorder="1" applyProtection="1">
      <protection locked="0"/>
    </xf>
    <xf numFmtId="0" fontId="26" fillId="0" borderId="3" xfId="1" applyFont="1" applyBorder="1" applyProtection="1"/>
    <xf numFmtId="0" fontId="1" fillId="0" borderId="5" xfId="2" applyFill="1" applyBorder="1" applyAlignment="1" applyProtection="1">
      <alignment horizontal="left"/>
      <protection locked="0"/>
    </xf>
    <xf numFmtId="0" fontId="1" fillId="0" borderId="5" xfId="2" applyFill="1" applyBorder="1" applyAlignment="1" applyProtection="1">
      <alignment horizontal="left"/>
      <protection locked="0"/>
    </xf>
    <xf numFmtId="0" fontId="36" fillId="0" borderId="0" xfId="2" applyFont="1" applyFill="1" applyBorder="1" applyAlignment="1" applyProtection="1">
      <alignment horizontal="left"/>
      <protection locked="0"/>
    </xf>
    <xf numFmtId="0" fontId="36" fillId="0" borderId="5" xfId="2" applyFont="1" applyFill="1" applyBorder="1" applyAlignment="1" applyProtection="1">
      <alignment horizontal="left"/>
      <protection locked="0"/>
    </xf>
    <xf numFmtId="0" fontId="37" fillId="0" borderId="5" xfId="2" applyFont="1" applyFill="1" applyBorder="1"/>
    <xf numFmtId="166" fontId="1" fillId="15" borderId="0" xfId="2" applyNumberFormat="1" applyFill="1"/>
    <xf numFmtId="4" fontId="1" fillId="0" borderId="25" xfId="2" applyNumberFormat="1" applyFont="1" applyFill="1" applyBorder="1" applyAlignment="1" applyProtection="1">
      <alignment horizontal="right"/>
    </xf>
    <xf numFmtId="4" fontId="1" fillId="0" borderId="26" xfId="2" applyNumberFormat="1" applyFont="1" applyBorder="1" applyProtection="1">
      <protection locked="0"/>
    </xf>
    <xf numFmtId="4" fontId="1" fillId="0" borderId="27" xfId="2" applyNumberFormat="1" applyFont="1" applyBorder="1" applyProtection="1">
      <protection locked="0"/>
    </xf>
    <xf numFmtId="4" fontId="1" fillId="0" borderId="18" xfId="2" applyNumberFormat="1" applyFont="1" applyFill="1" applyBorder="1" applyAlignment="1" applyProtection="1">
      <alignment horizontal="right"/>
    </xf>
    <xf numFmtId="4" fontId="1" fillId="0" borderId="28" xfId="2" applyNumberFormat="1" applyFont="1" applyBorder="1" applyProtection="1">
      <protection locked="0"/>
    </xf>
    <xf numFmtId="3" fontId="1" fillId="0" borderId="31" xfId="2" applyNumberFormat="1" applyFont="1" applyBorder="1" applyProtection="1">
      <protection locked="0"/>
    </xf>
    <xf numFmtId="4" fontId="1" fillId="0" borderId="28" xfId="2" applyNumberFormat="1" applyFont="1" applyFill="1" applyBorder="1" applyProtection="1">
      <protection locked="0"/>
    </xf>
    <xf numFmtId="4" fontId="1" fillId="0" borderId="30" xfId="2" applyNumberFormat="1" applyFont="1" applyFill="1" applyBorder="1" applyProtection="1">
      <protection locked="0"/>
    </xf>
    <xf numFmtId="4" fontId="1" fillId="0" borderId="31" xfId="2" applyNumberFormat="1" applyFont="1" applyFill="1" applyBorder="1" applyProtection="1">
      <protection locked="0"/>
    </xf>
    <xf numFmtId="4" fontId="1" fillId="0" borderId="33" xfId="2" applyNumberFormat="1" applyFont="1" applyFill="1" applyBorder="1" applyAlignment="1" applyProtection="1">
      <alignment horizontal="right"/>
    </xf>
    <xf numFmtId="4" fontId="1" fillId="0" borderId="24" xfId="2" applyNumberFormat="1" applyFont="1" applyBorder="1" applyProtection="1">
      <protection locked="0"/>
    </xf>
    <xf numFmtId="4" fontId="1" fillId="0" borderId="34" xfId="2" applyNumberFormat="1" applyFont="1" applyBorder="1" applyProtection="1">
      <protection locked="0"/>
    </xf>
    <xf numFmtId="4" fontId="1" fillId="0" borderId="35" xfId="2" applyNumberFormat="1" applyFont="1" applyBorder="1" applyProtection="1">
      <protection locked="0"/>
    </xf>
    <xf numFmtId="0" fontId="1" fillId="0" borderId="0" xfId="2" applyFill="1" applyAlignment="1" applyProtection="1">
      <alignment horizontal="left"/>
      <protection locked="0"/>
    </xf>
    <xf numFmtId="0" fontId="26" fillId="0" borderId="0" xfId="2" applyFont="1" applyFill="1" applyBorder="1"/>
    <xf numFmtId="0" fontId="26" fillId="0" borderId="5" xfId="1" applyFont="1" applyBorder="1" applyProtection="1"/>
    <xf numFmtId="14" fontId="4" fillId="28" borderId="0" xfId="2" applyNumberFormat="1" applyFont="1" applyFill="1" applyBorder="1" applyAlignment="1" applyProtection="1">
      <alignment horizontal="left"/>
      <protection locked="0"/>
    </xf>
    <xf numFmtId="166" fontId="4" fillId="16" borderId="9" xfId="2" applyNumberFormat="1" applyFont="1" applyFill="1" applyBorder="1" applyAlignment="1" applyProtection="1">
      <alignment horizontal="right"/>
      <protection locked="0"/>
    </xf>
    <xf numFmtId="166" fontId="4" fillId="16" borderId="11" xfId="2" applyNumberFormat="1" applyFont="1" applyFill="1" applyBorder="1" applyProtection="1">
      <protection locked="0"/>
    </xf>
    <xf numFmtId="166" fontId="1" fillId="28" borderId="6" xfId="2" applyNumberFormat="1" applyFont="1" applyFill="1" applyBorder="1" applyProtection="1">
      <protection locked="0"/>
    </xf>
    <xf numFmtId="166" fontId="1" fillId="29" borderId="27" xfId="2" applyNumberFormat="1" applyFont="1" applyFill="1" applyBorder="1" applyProtection="1">
      <protection locked="0"/>
    </xf>
    <xf numFmtId="166" fontId="1" fillId="16" borderId="30" xfId="2" applyNumberFormat="1" applyFont="1" applyFill="1" applyBorder="1" applyProtection="1">
      <protection locked="0"/>
    </xf>
    <xf numFmtId="166" fontId="1" fillId="28" borderId="30" xfId="2" applyNumberFormat="1" applyFont="1" applyFill="1" applyBorder="1" applyProtection="1">
      <protection locked="0"/>
    </xf>
    <xf numFmtId="0" fontId="1" fillId="29" borderId="31" xfId="2" applyFont="1" applyFill="1" applyBorder="1" applyProtection="1">
      <protection locked="0"/>
    </xf>
    <xf numFmtId="166" fontId="1" fillId="29" borderId="31" xfId="2" applyNumberFormat="1" applyFont="1" applyFill="1" applyBorder="1" applyProtection="1">
      <protection locked="0"/>
    </xf>
    <xf numFmtId="166" fontId="26" fillId="0" borderId="9" xfId="2" applyNumberFormat="1" applyFont="1" applyBorder="1" applyAlignment="1" applyProtection="1">
      <alignment horizontal="right"/>
      <protection locked="0"/>
    </xf>
    <xf numFmtId="166" fontId="26" fillId="24" borderId="9" xfId="2" applyNumberFormat="1" applyFont="1" applyFill="1" applyBorder="1" applyAlignment="1" applyProtection="1">
      <alignment horizontal="right"/>
    </xf>
    <xf numFmtId="166" fontId="26" fillId="28" borderId="9" xfId="2" applyNumberFormat="1" applyFont="1" applyFill="1" applyBorder="1" applyAlignment="1" applyProtection="1">
      <alignment horizontal="right"/>
      <protection locked="0"/>
    </xf>
    <xf numFmtId="166" fontId="1" fillId="29" borderId="31" xfId="2" applyNumberFormat="1" applyFont="1" applyFill="1" applyBorder="1" applyAlignment="1" applyProtection="1">
      <alignment horizontal="right"/>
      <protection locked="0"/>
    </xf>
    <xf numFmtId="0" fontId="29" fillId="28" borderId="13" xfId="2" applyFont="1" applyFill="1" applyBorder="1" applyAlignment="1" applyProtection="1">
      <alignment horizontal="center" vertical="center"/>
    </xf>
    <xf numFmtId="0" fontId="29" fillId="28" borderId="17" xfId="2" applyFont="1" applyFill="1" applyBorder="1" applyAlignment="1" applyProtection="1">
      <alignment horizontal="center" vertical="center"/>
    </xf>
    <xf numFmtId="0" fontId="29" fillId="28" borderId="59" xfId="2" applyFont="1" applyFill="1" applyBorder="1" applyAlignment="1" applyProtection="1">
      <alignment horizontal="center" vertical="center"/>
    </xf>
    <xf numFmtId="0" fontId="1" fillId="0" borderId="30" xfId="2" applyBorder="1" applyProtection="1">
      <protection locked="0"/>
    </xf>
    <xf numFmtId="166" fontId="1" fillId="24" borderId="9" xfId="2" applyNumberFormat="1" applyFill="1" applyBorder="1" applyAlignment="1" applyProtection="1">
      <alignment horizontal="right"/>
    </xf>
    <xf numFmtId="166" fontId="1" fillId="0" borderId="18" xfId="2" applyNumberFormat="1" applyBorder="1" applyAlignment="1" applyProtection="1">
      <alignment horizontal="right"/>
      <protection locked="0"/>
    </xf>
    <xf numFmtId="166" fontId="1" fillId="24" borderId="31" xfId="2" applyNumberFormat="1" applyFill="1" applyBorder="1" applyAlignment="1" applyProtection="1">
      <alignment horizontal="right"/>
    </xf>
    <xf numFmtId="166" fontId="1" fillId="24" borderId="50" xfId="2" applyNumberFormat="1" applyFill="1" applyBorder="1" applyAlignment="1" applyProtection="1">
      <alignment horizontal="right"/>
    </xf>
    <xf numFmtId="166" fontId="1" fillId="0" borderId="24" xfId="2" applyNumberFormat="1" applyFont="1" applyFill="1" applyBorder="1" applyProtection="1">
      <protection locked="0"/>
    </xf>
    <xf numFmtId="0" fontId="40" fillId="15" borderId="0" xfId="2" applyFont="1" applyFill="1" applyBorder="1"/>
    <xf numFmtId="0" fontId="40" fillId="15" borderId="0" xfId="1" applyFont="1" applyFill="1" applyBorder="1" applyProtection="1"/>
    <xf numFmtId="0" fontId="29" fillId="0" borderId="0" xfId="2" applyFont="1" applyFill="1" applyBorder="1" applyAlignment="1" applyProtection="1">
      <alignment horizontal="left"/>
      <protection locked="0"/>
    </xf>
    <xf numFmtId="0" fontId="29" fillId="0" borderId="5" xfId="2" applyFont="1" applyFill="1" applyBorder="1" applyAlignment="1" applyProtection="1">
      <alignment horizontal="left"/>
      <protection locked="0"/>
    </xf>
    <xf numFmtId="0" fontId="41" fillId="0" borderId="0" xfId="2" applyFont="1" applyFill="1"/>
    <xf numFmtId="0" fontId="41" fillId="15" borderId="0" xfId="2" applyFont="1" applyFill="1"/>
    <xf numFmtId="0" fontId="41" fillId="0" borderId="4" xfId="2" applyFont="1" applyFill="1" applyBorder="1"/>
    <xf numFmtId="0" fontId="41" fillId="0" borderId="0" xfId="2" applyFont="1" applyFill="1" applyBorder="1"/>
    <xf numFmtId="0" fontId="29" fillId="0" borderId="0" xfId="2" applyFont="1" applyFill="1" applyBorder="1" applyAlignment="1" applyProtection="1">
      <alignment horizontal="left"/>
      <protection locked="0"/>
    </xf>
    <xf numFmtId="0" fontId="29" fillId="0" borderId="5" xfId="2" applyFont="1" applyFill="1" applyBorder="1" applyAlignment="1" applyProtection="1">
      <alignment horizontal="left"/>
      <protection locked="0"/>
    </xf>
    <xf numFmtId="0" fontId="41" fillId="15" borderId="0" xfId="2" applyFont="1" applyFill="1" applyProtection="1"/>
    <xf numFmtId="0" fontId="41" fillId="0" borderId="5" xfId="2" applyFont="1" applyFill="1" applyBorder="1"/>
    <xf numFmtId="0" fontId="41" fillId="0" borderId="6" xfId="2" applyFont="1" applyFill="1" applyBorder="1"/>
    <xf numFmtId="0" fontId="41" fillId="0" borderId="7" xfId="2" applyFont="1" applyFill="1" applyBorder="1"/>
    <xf numFmtId="166" fontId="29" fillId="0" borderId="7" xfId="2" applyNumberFormat="1" applyFont="1" applyFill="1" applyBorder="1" applyAlignment="1" applyProtection="1">
      <alignment horizontal="left"/>
      <protection locked="0"/>
    </xf>
    <xf numFmtId="0" fontId="29" fillId="17" borderId="7" xfId="2" applyFont="1" applyFill="1" applyBorder="1" applyAlignment="1" applyProtection="1">
      <alignment horizontal="left"/>
    </xf>
    <xf numFmtId="0" fontId="29" fillId="17" borderId="8" xfId="2" applyFont="1" applyFill="1" applyBorder="1" applyAlignment="1" applyProtection="1">
      <alignment horizontal="left"/>
    </xf>
    <xf numFmtId="166" fontId="29" fillId="0" borderId="9" xfId="2" applyNumberFormat="1" applyFont="1" applyFill="1" applyBorder="1" applyProtection="1">
      <protection locked="0"/>
    </xf>
    <xf numFmtId="166" fontId="42" fillId="15" borderId="0" xfId="2" applyNumberFormat="1" applyFont="1" applyFill="1" applyBorder="1" applyAlignment="1" applyProtection="1">
      <alignment horizontal="right"/>
    </xf>
    <xf numFmtId="166" fontId="29" fillId="15" borderId="0" xfId="2" applyNumberFormat="1" applyFont="1" applyFill="1" applyBorder="1" applyProtection="1"/>
    <xf numFmtId="0" fontId="29" fillId="0" borderId="9" xfId="2" applyFont="1" applyFill="1" applyBorder="1" applyProtection="1"/>
    <xf numFmtId="0" fontId="29" fillId="15" borderId="0" xfId="2" applyFont="1" applyFill="1" applyBorder="1" applyAlignment="1" applyProtection="1">
      <alignment horizontal="center"/>
    </xf>
    <xf numFmtId="166" fontId="29" fillId="17" borderId="9" xfId="2" applyNumberFormat="1" applyFont="1" applyFill="1" applyBorder="1" applyAlignment="1" applyProtection="1">
      <alignment horizontal="center"/>
    </xf>
    <xf numFmtId="0" fontId="29" fillId="17" borderId="9" xfId="2" applyFont="1" applyFill="1" applyBorder="1" applyProtection="1"/>
    <xf numFmtId="0" fontId="29" fillId="15" borderId="0" xfId="2" applyFont="1" applyFill="1" applyBorder="1" applyProtection="1"/>
    <xf numFmtId="166" fontId="29" fillId="0" borderId="9" xfId="2" applyNumberFormat="1" applyFont="1" applyFill="1" applyBorder="1" applyProtection="1"/>
    <xf numFmtId="166" fontId="29" fillId="0" borderId="9" xfId="2" applyNumberFormat="1" applyFont="1" applyFill="1" applyBorder="1" applyAlignment="1" applyProtection="1">
      <alignment horizontal="right"/>
      <protection locked="0"/>
    </xf>
    <xf numFmtId="0" fontId="40" fillId="0" borderId="9" xfId="2" applyFont="1" applyFill="1" applyBorder="1" applyProtection="1"/>
    <xf numFmtId="166" fontId="29" fillId="0" borderId="10" xfId="2" applyNumberFormat="1" applyFont="1" applyFill="1" applyBorder="1" applyProtection="1">
      <protection locked="0"/>
    </xf>
    <xf numFmtId="166" fontId="29" fillId="0" borderId="11" xfId="2" applyNumberFormat="1" applyFont="1" applyFill="1" applyBorder="1" applyProtection="1">
      <protection locked="0"/>
    </xf>
    <xf numFmtId="166" fontId="29" fillId="15" borderId="0" xfId="2" applyNumberFormat="1" applyFont="1" applyFill="1" applyBorder="1" applyAlignment="1" applyProtection="1">
      <alignment horizontal="right"/>
      <protection locked="0"/>
    </xf>
    <xf numFmtId="0" fontId="29" fillId="17" borderId="51" xfId="2" applyFont="1" applyFill="1" applyBorder="1" applyAlignment="1" applyProtection="1">
      <alignment horizontal="left" vertical="center"/>
    </xf>
    <xf numFmtId="0" fontId="41" fillId="15" borderId="0" xfId="2" applyFont="1" applyFill="1" applyBorder="1"/>
    <xf numFmtId="166" fontId="29" fillId="18" borderId="13" xfId="2" applyNumberFormat="1" applyFont="1" applyFill="1" applyBorder="1" applyAlignment="1" applyProtection="1">
      <alignment horizontal="center" wrapText="1"/>
    </xf>
    <xf numFmtId="166" fontId="29" fillId="18" borderId="14" xfId="2" applyNumberFormat="1" applyFont="1" applyFill="1" applyBorder="1" applyAlignment="1" applyProtection="1">
      <alignment horizontal="center" wrapText="1"/>
      <protection locked="0"/>
    </xf>
    <xf numFmtId="166" fontId="29" fillId="15" borderId="0" xfId="2" applyNumberFormat="1" applyFont="1" applyFill="1" applyBorder="1" applyAlignment="1" applyProtection="1">
      <alignment horizontal="center" vertical="center" wrapText="1"/>
    </xf>
    <xf numFmtId="0" fontId="29" fillId="17" borderId="40" xfId="2" applyFont="1" applyFill="1" applyBorder="1" applyAlignment="1" applyProtection="1">
      <alignment horizontal="left" vertical="center"/>
    </xf>
    <xf numFmtId="0" fontId="41" fillId="15" borderId="0" xfId="2" applyFont="1" applyFill="1" applyBorder="1" applyAlignment="1" applyProtection="1">
      <alignment horizontal="center"/>
    </xf>
    <xf numFmtId="0" fontId="41" fillId="15" borderId="0" xfId="2" applyFont="1" applyFill="1" applyBorder="1" applyProtection="1"/>
    <xf numFmtId="166" fontId="29" fillId="15" borderId="0" xfId="2" applyNumberFormat="1" applyFont="1" applyFill="1" applyBorder="1" applyProtection="1">
      <protection locked="0"/>
    </xf>
    <xf numFmtId="166" fontId="29" fillId="0" borderId="15" xfId="2" applyNumberFormat="1" applyFont="1" applyFill="1" applyBorder="1" applyProtection="1">
      <protection locked="0"/>
    </xf>
    <xf numFmtId="166" fontId="29" fillId="0" borderId="16" xfId="2" applyNumberFormat="1" applyFont="1" applyFill="1" applyBorder="1" applyProtection="1">
      <protection locked="0"/>
    </xf>
    <xf numFmtId="0" fontId="29" fillId="17" borderId="52" xfId="2" applyFont="1" applyFill="1" applyBorder="1" applyAlignment="1" applyProtection="1">
      <alignment horizontal="left" vertical="center"/>
    </xf>
    <xf numFmtId="166" fontId="29" fillId="18" borderId="13" xfId="2" applyNumberFormat="1" applyFont="1" applyFill="1" applyBorder="1" applyProtection="1"/>
    <xf numFmtId="166" fontId="29" fillId="18" borderId="17" xfId="2" applyNumberFormat="1" applyFont="1" applyFill="1" applyBorder="1" applyProtection="1"/>
    <xf numFmtId="166" fontId="29" fillId="18" borderId="14" xfId="2" applyNumberFormat="1" applyFont="1" applyFill="1" applyBorder="1" applyProtection="1">
      <protection locked="0"/>
    </xf>
    <xf numFmtId="166" fontId="29" fillId="15" borderId="0" xfId="2" applyNumberFormat="1" applyFont="1" applyFill="1" applyBorder="1" applyAlignment="1" applyProtection="1">
      <alignment horizontal="center"/>
    </xf>
    <xf numFmtId="10" fontId="43" fillId="0" borderId="18" xfId="2" applyNumberFormat="1" applyFont="1" applyFill="1" applyBorder="1" applyProtection="1"/>
    <xf numFmtId="167" fontId="44" fillId="19" borderId="19" xfId="2" applyNumberFormat="1" applyFont="1" applyFill="1" applyBorder="1" applyProtection="1"/>
    <xf numFmtId="166" fontId="42" fillId="18" borderId="13" xfId="2" applyNumberFormat="1" applyFont="1" applyFill="1" applyBorder="1" applyProtection="1"/>
    <xf numFmtId="0" fontId="44" fillId="18" borderId="17" xfId="2" applyFont="1" applyFill="1" applyBorder="1" applyProtection="1"/>
    <xf numFmtId="166" fontId="42" fillId="18" borderId="17" xfId="2" applyNumberFormat="1" applyFont="1" applyFill="1" applyBorder="1" applyProtection="1"/>
    <xf numFmtId="166" fontId="42" fillId="18" borderId="14" xfId="2" applyNumberFormat="1" applyFont="1" applyFill="1" applyBorder="1" applyAlignment="1" applyProtection="1">
      <alignment horizontal="center"/>
    </xf>
    <xf numFmtId="166" fontId="42" fillId="18" borderId="20" xfId="2" applyNumberFormat="1" applyFont="1" applyFill="1" applyBorder="1" applyProtection="1"/>
    <xf numFmtId="0" fontId="44" fillId="0" borderId="12" xfId="2" applyFont="1" applyBorder="1" applyProtection="1"/>
    <xf numFmtId="0" fontId="44" fillId="0" borderId="12" xfId="2" applyFont="1" applyFill="1" applyBorder="1" applyAlignment="1" applyProtection="1">
      <alignment horizontal="center"/>
    </xf>
    <xf numFmtId="10" fontId="28" fillId="20" borderId="18" xfId="2" applyNumberFormat="1" applyFont="1" applyFill="1" applyBorder="1" applyProtection="1"/>
    <xf numFmtId="10" fontId="43" fillId="22" borderId="19" xfId="2" applyNumberFormat="1" applyFont="1" applyFill="1" applyBorder="1" applyProtection="1"/>
    <xf numFmtId="166" fontId="29" fillId="22" borderId="19" xfId="2" applyNumberFormat="1" applyFont="1" applyFill="1" applyBorder="1" applyProtection="1"/>
    <xf numFmtId="166" fontId="29" fillId="22" borderId="23" xfId="2" applyNumberFormat="1" applyFont="1" applyFill="1" applyBorder="1" applyProtection="1"/>
    <xf numFmtId="166" fontId="41" fillId="22" borderId="24" xfId="2" applyNumberFormat="1" applyFont="1" applyFill="1" applyBorder="1" applyProtection="1">
      <protection locked="0"/>
    </xf>
    <xf numFmtId="166" fontId="29" fillId="22" borderId="14" xfId="2" applyNumberFormat="1" applyFont="1" applyFill="1" applyBorder="1" applyProtection="1"/>
    <xf numFmtId="0" fontId="29" fillId="22" borderId="12" xfId="2" applyFont="1" applyFill="1" applyBorder="1" applyProtection="1"/>
    <xf numFmtId="0" fontId="29" fillId="0" borderId="19" xfId="2" applyFont="1" applyFill="1" applyBorder="1" applyAlignment="1" applyProtection="1">
      <alignment horizontal="center"/>
    </xf>
    <xf numFmtId="10" fontId="43" fillId="0" borderId="25" xfId="2" applyNumberFormat="1" applyFont="1" applyFill="1" applyBorder="1" applyProtection="1"/>
    <xf numFmtId="166" fontId="41" fillId="0" borderId="25" xfId="2" applyNumberFormat="1" applyFont="1" applyFill="1" applyBorder="1" applyAlignment="1" applyProtection="1">
      <alignment horizontal="right"/>
    </xf>
    <xf numFmtId="166" fontId="41" fillId="0" borderId="26" xfId="2" applyNumberFormat="1" applyFont="1" applyBorder="1" applyProtection="1">
      <protection locked="0"/>
    </xf>
    <xf numFmtId="166" fontId="41" fillId="0" borderId="6" xfId="2" applyNumberFormat="1" applyFont="1" applyBorder="1" applyProtection="1">
      <protection locked="0"/>
    </xf>
    <xf numFmtId="166" fontId="41" fillId="0" borderId="27" xfId="2" applyNumberFormat="1" applyFont="1" applyBorder="1" applyProtection="1">
      <protection locked="0"/>
    </xf>
    <xf numFmtId="166" fontId="41" fillId="0" borderId="28" xfId="2" applyNumberFormat="1" applyFont="1" applyBorder="1" applyProtection="1">
      <protection locked="0"/>
    </xf>
    <xf numFmtId="0" fontId="41" fillId="0" borderId="29" xfId="2" applyFont="1" applyBorder="1" applyProtection="1"/>
    <xf numFmtId="0" fontId="41" fillId="0" borderId="27" xfId="2" applyFont="1" applyFill="1" applyBorder="1" applyAlignment="1" applyProtection="1">
      <alignment horizontal="center"/>
    </xf>
    <xf numFmtId="166" fontId="41" fillId="0" borderId="18" xfId="2" applyNumberFormat="1" applyFont="1" applyFill="1" applyBorder="1" applyAlignment="1" applyProtection="1">
      <alignment horizontal="right"/>
    </xf>
    <xf numFmtId="166" fontId="41" fillId="0" borderId="30" xfId="2" applyNumberFormat="1" applyFont="1" applyBorder="1" applyProtection="1">
      <protection locked="0"/>
    </xf>
    <xf numFmtId="166" fontId="41" fillId="0" borderId="31" xfId="2" applyNumberFormat="1" applyFont="1" applyBorder="1" applyProtection="1">
      <protection locked="0"/>
    </xf>
    <xf numFmtId="0" fontId="41" fillId="0" borderId="32" xfId="2" applyFont="1" applyBorder="1" applyProtection="1"/>
    <xf numFmtId="0" fontId="41" fillId="0" borderId="31" xfId="2" applyFont="1" applyFill="1" applyBorder="1" applyAlignment="1" applyProtection="1">
      <alignment horizontal="center"/>
    </xf>
    <xf numFmtId="0" fontId="41" fillId="0" borderId="31" xfId="2" applyFont="1" applyBorder="1" applyProtection="1">
      <protection locked="0"/>
    </xf>
    <xf numFmtId="0" fontId="41" fillId="0" borderId="30" xfId="2" applyFont="1" applyBorder="1" applyProtection="1">
      <protection locked="0"/>
    </xf>
    <xf numFmtId="0" fontId="43" fillId="0" borderId="32" xfId="2" applyFont="1" applyBorder="1" applyAlignment="1" applyProtection="1">
      <alignment horizontal="left" indent="5"/>
    </xf>
    <xf numFmtId="0" fontId="43" fillId="0" borderId="32" xfId="2" applyFont="1" applyBorder="1" applyProtection="1"/>
    <xf numFmtId="166" fontId="41" fillId="0" borderId="28" xfId="2" applyNumberFormat="1" applyFont="1" applyFill="1" applyBorder="1" applyProtection="1">
      <protection locked="0"/>
    </xf>
    <xf numFmtId="166" fontId="41" fillId="0" borderId="30" xfId="2" applyNumberFormat="1" applyFont="1" applyFill="1" applyBorder="1" applyProtection="1">
      <protection locked="0"/>
    </xf>
    <xf numFmtId="166" fontId="41" fillId="0" borderId="31" xfId="2" applyNumberFormat="1" applyFont="1" applyFill="1" applyBorder="1" applyProtection="1">
      <protection locked="0"/>
    </xf>
    <xf numFmtId="0" fontId="41" fillId="0" borderId="32" xfId="2" applyFont="1" applyFill="1" applyBorder="1" applyProtection="1"/>
    <xf numFmtId="166" fontId="41" fillId="0" borderId="33" xfId="2" applyNumberFormat="1" applyFont="1" applyFill="1" applyBorder="1" applyAlignment="1" applyProtection="1">
      <alignment horizontal="right"/>
    </xf>
    <xf numFmtId="166" fontId="41" fillId="0" borderId="24" xfId="2" applyNumberFormat="1" applyFont="1" applyBorder="1" applyProtection="1">
      <protection locked="0"/>
    </xf>
    <xf numFmtId="166" fontId="41" fillId="0" borderId="34" xfId="2" applyNumberFormat="1" applyFont="1" applyBorder="1" applyProtection="1">
      <protection locked="0"/>
    </xf>
    <xf numFmtId="166" fontId="41" fillId="0" borderId="35" xfId="2" applyNumberFormat="1" applyFont="1" applyBorder="1" applyProtection="1">
      <protection locked="0"/>
    </xf>
    <xf numFmtId="0" fontId="41" fillId="0" borderId="36" xfId="2" applyFont="1" applyBorder="1" applyProtection="1"/>
    <xf numFmtId="0" fontId="41" fillId="0" borderId="35" xfId="2" applyFont="1" applyFill="1" applyBorder="1" applyAlignment="1" applyProtection="1">
      <alignment horizontal="center"/>
    </xf>
    <xf numFmtId="10" fontId="45" fillId="0" borderId="51" xfId="2" applyNumberFormat="1" applyFont="1" applyFill="1" applyBorder="1" applyAlignment="1" applyProtection="1">
      <alignment horizontal="center" vertical="center" wrapText="1"/>
    </xf>
    <xf numFmtId="0" fontId="29" fillId="0" borderId="10" xfId="2" applyFont="1" applyFill="1" applyBorder="1" applyAlignment="1" applyProtection="1">
      <alignment horizontal="center" vertical="center"/>
    </xf>
    <xf numFmtId="0" fontId="41" fillId="0" borderId="51" xfId="2" applyFont="1" applyBorder="1" applyAlignment="1" applyProtection="1">
      <alignment horizontal="center" vertical="center"/>
    </xf>
    <xf numFmtId="166" fontId="41" fillId="0" borderId="15" xfId="2" applyNumberFormat="1" applyFont="1" applyBorder="1" applyAlignment="1" applyProtection="1">
      <alignment horizontal="center" vertical="center"/>
    </xf>
    <xf numFmtId="0" fontId="41" fillId="0" borderId="20" xfId="2" applyFont="1" applyBorder="1" applyAlignment="1" applyProtection="1">
      <alignment horizontal="center"/>
    </xf>
    <xf numFmtId="0" fontId="41" fillId="0" borderId="17" xfId="2" applyFont="1" applyBorder="1" applyAlignment="1" applyProtection="1">
      <alignment horizontal="center"/>
    </xf>
    <xf numFmtId="0" fontId="41" fillId="0" borderId="14" xfId="2" applyFont="1" applyBorder="1" applyAlignment="1" applyProtection="1">
      <alignment horizontal="center"/>
    </xf>
    <xf numFmtId="0" fontId="29" fillId="0" borderId="53" xfId="2" applyFont="1" applyBorder="1" applyAlignment="1" applyProtection="1">
      <alignment horizontal="center" vertical="center"/>
    </xf>
    <xf numFmtId="0" fontId="29" fillId="0" borderId="54" xfId="2" applyFont="1" applyFill="1" applyBorder="1" applyAlignment="1" applyProtection="1">
      <alignment horizontal="center" wrapText="1"/>
    </xf>
    <xf numFmtId="10" fontId="45" fillId="0" borderId="25" xfId="2" applyNumberFormat="1" applyFont="1" applyFill="1" applyBorder="1" applyAlignment="1" applyProtection="1">
      <alignment horizontal="center" vertical="center" wrapText="1"/>
    </xf>
    <xf numFmtId="0" fontId="29" fillId="0" borderId="55" xfId="2" applyFont="1" applyFill="1" applyBorder="1" applyAlignment="1" applyProtection="1">
      <alignment horizontal="center" vertical="center"/>
    </xf>
    <xf numFmtId="0" fontId="41" fillId="0" borderId="21" xfId="2" applyFont="1" applyBorder="1" applyAlignment="1" applyProtection="1">
      <alignment horizontal="center" vertical="center"/>
    </xf>
    <xf numFmtId="166" fontId="41" fillId="0" borderId="37" xfId="2" applyNumberFormat="1" applyFont="1" applyBorder="1" applyAlignment="1" applyProtection="1">
      <alignment horizontal="center" vertical="center"/>
    </xf>
    <xf numFmtId="0" fontId="29" fillId="0" borderId="56" xfId="2" applyFont="1" applyBorder="1" applyAlignment="1" applyProtection="1">
      <alignment horizontal="center"/>
    </xf>
    <xf numFmtId="0" fontId="29" fillId="0" borderId="12" xfId="2" applyFont="1" applyBorder="1" applyAlignment="1" applyProtection="1">
      <alignment horizontal="center"/>
    </xf>
    <xf numFmtId="0" fontId="29" fillId="0" borderId="37" xfId="2" applyFont="1" applyBorder="1" applyAlignment="1" applyProtection="1">
      <alignment horizontal="center" vertical="center"/>
    </xf>
    <xf numFmtId="0" fontId="29" fillId="0" borderId="38" xfId="2" applyFont="1" applyFill="1" applyBorder="1" applyAlignment="1" applyProtection="1">
      <alignment horizontal="center" wrapText="1"/>
    </xf>
    <xf numFmtId="10" fontId="45" fillId="0" borderId="21" xfId="2" applyNumberFormat="1" applyFont="1" applyFill="1" applyBorder="1" applyAlignment="1" applyProtection="1">
      <alignment horizontal="center" vertical="center" wrapText="1"/>
    </xf>
    <xf numFmtId="166" fontId="40" fillId="22" borderId="55" xfId="2" applyNumberFormat="1" applyFont="1" applyFill="1" applyBorder="1" applyAlignment="1" applyProtection="1">
      <alignment horizontal="center"/>
    </xf>
    <xf numFmtId="166" fontId="40" fillId="22" borderId="39" xfId="2" applyNumberFormat="1" applyFont="1" applyFill="1" applyBorder="1" applyAlignment="1" applyProtection="1">
      <alignment horizontal="center"/>
    </xf>
    <xf numFmtId="166" fontId="40" fillId="22" borderId="56" xfId="2" applyNumberFormat="1" applyFont="1" applyFill="1" applyBorder="1" applyAlignment="1" applyProtection="1">
      <alignment horizontal="center"/>
    </xf>
    <xf numFmtId="166" fontId="40" fillId="22" borderId="12" xfId="2" applyNumberFormat="1" applyFont="1" applyFill="1" applyBorder="1" applyAlignment="1" applyProtection="1">
      <alignment horizontal="center"/>
    </xf>
    <xf numFmtId="0" fontId="29" fillId="18" borderId="39" xfId="2" applyFont="1" applyFill="1" applyBorder="1" applyProtection="1"/>
    <xf numFmtId="0" fontId="41" fillId="18" borderId="40" xfId="2" applyFont="1" applyFill="1" applyBorder="1" applyAlignment="1" applyProtection="1">
      <alignment horizontal="center"/>
    </xf>
    <xf numFmtId="10" fontId="43" fillId="23" borderId="19" xfId="2" applyNumberFormat="1" applyFont="1" applyFill="1" applyBorder="1" applyProtection="1"/>
    <xf numFmtId="166" fontId="29" fillId="23" borderId="21" xfId="2" applyNumberFormat="1" applyFont="1" applyFill="1" applyBorder="1" applyAlignment="1" applyProtection="1">
      <alignment horizontal="right"/>
    </xf>
    <xf numFmtId="166" fontId="29" fillId="23" borderId="41" xfId="2" applyNumberFormat="1" applyFont="1" applyFill="1" applyBorder="1" applyAlignment="1" applyProtection="1">
      <alignment horizontal="right"/>
    </xf>
    <xf numFmtId="166" fontId="29" fillId="23" borderId="42" xfId="2" applyNumberFormat="1" applyFont="1" applyFill="1" applyBorder="1" applyAlignment="1" applyProtection="1">
      <alignment horizontal="right"/>
    </xf>
    <xf numFmtId="166" fontId="29" fillId="23" borderId="38" xfId="2" applyNumberFormat="1" applyFont="1" applyFill="1" applyBorder="1" applyAlignment="1" applyProtection="1">
      <alignment horizontal="right"/>
    </xf>
    <xf numFmtId="0" fontId="29" fillId="23" borderId="39" xfId="2" applyFont="1" applyFill="1" applyBorder="1" applyProtection="1"/>
    <xf numFmtId="166" fontId="41" fillId="0" borderId="43" xfId="2" applyNumberFormat="1" applyFont="1" applyBorder="1" applyAlignment="1" applyProtection="1">
      <alignment horizontal="right"/>
      <protection locked="0"/>
    </xf>
    <xf numFmtId="166" fontId="41" fillId="0" borderId="8" xfId="2" applyNumberFormat="1" applyFont="1" applyFill="1" applyBorder="1" applyAlignment="1" applyProtection="1">
      <alignment horizontal="right"/>
      <protection locked="0"/>
    </xf>
    <xf numFmtId="166" fontId="41" fillId="0" borderId="44" xfId="2" applyNumberFormat="1" applyFont="1" applyBorder="1" applyAlignment="1" applyProtection="1">
      <alignment horizontal="right"/>
      <protection locked="0"/>
    </xf>
    <xf numFmtId="166" fontId="41" fillId="24" borderId="44" xfId="2" applyNumberFormat="1" applyFont="1" applyFill="1" applyBorder="1" applyAlignment="1" applyProtection="1">
      <alignment horizontal="right"/>
    </xf>
    <xf numFmtId="166" fontId="41" fillId="24" borderId="27" xfId="2" applyNumberFormat="1" applyFont="1" applyFill="1" applyBorder="1" applyAlignment="1" applyProtection="1">
      <alignment horizontal="right"/>
    </xf>
    <xf numFmtId="0" fontId="41" fillId="0" borderId="45" xfId="2" applyFont="1" applyBorder="1" applyAlignment="1" applyProtection="1">
      <alignment horizontal="left" indent="5"/>
    </xf>
    <xf numFmtId="0" fontId="41" fillId="0" borderId="46" xfId="2" applyFont="1" applyFill="1" applyBorder="1" applyAlignment="1" applyProtection="1">
      <alignment horizontal="center"/>
    </xf>
    <xf numFmtId="166" fontId="41" fillId="0" borderId="47" xfId="2" applyNumberFormat="1" applyFont="1" applyBorder="1" applyAlignment="1" applyProtection="1">
      <alignment horizontal="right"/>
      <protection locked="0"/>
    </xf>
    <xf numFmtId="166" fontId="41" fillId="0" borderId="48" xfId="2" applyNumberFormat="1" applyFont="1" applyFill="1" applyBorder="1" applyAlignment="1" applyProtection="1">
      <alignment horizontal="right"/>
      <protection locked="0"/>
    </xf>
    <xf numFmtId="166" fontId="41" fillId="0" borderId="9" xfId="2" applyNumberFormat="1" applyFont="1" applyBorder="1" applyAlignment="1" applyProtection="1">
      <alignment horizontal="right"/>
      <protection locked="0"/>
    </xf>
    <xf numFmtId="166" fontId="41" fillId="24" borderId="9" xfId="2" applyNumberFormat="1" applyFont="1" applyFill="1" applyBorder="1" applyAlignment="1" applyProtection="1">
      <alignment horizontal="right"/>
    </xf>
    <xf numFmtId="166" fontId="41" fillId="24" borderId="31" xfId="2" applyNumberFormat="1" applyFont="1" applyFill="1" applyBorder="1" applyAlignment="1" applyProtection="1">
      <alignment horizontal="right"/>
    </xf>
    <xf numFmtId="166" fontId="41" fillId="0" borderId="18" xfId="2" applyNumberFormat="1" applyFont="1" applyBorder="1" applyAlignment="1" applyProtection="1">
      <alignment horizontal="right"/>
      <protection locked="0"/>
    </xf>
    <xf numFmtId="0" fontId="46" fillId="0" borderId="32" xfId="2" applyFont="1" applyBorder="1" applyProtection="1"/>
    <xf numFmtId="166" fontId="47" fillId="0" borderId="9" xfId="2" applyNumberFormat="1" applyFont="1" applyBorder="1" applyAlignment="1" applyProtection="1">
      <alignment horizontal="right"/>
      <protection locked="0"/>
    </xf>
    <xf numFmtId="166" fontId="47" fillId="24" borderId="9" xfId="2" applyNumberFormat="1" applyFont="1" applyFill="1" applyBorder="1" applyAlignment="1" applyProtection="1">
      <alignment horizontal="right"/>
    </xf>
    <xf numFmtId="166" fontId="47" fillId="24" borderId="31" xfId="2" applyNumberFormat="1" applyFont="1" applyFill="1" applyBorder="1" applyAlignment="1" applyProtection="1">
      <alignment horizontal="right"/>
    </xf>
    <xf numFmtId="166" fontId="41" fillId="0" borderId="18" xfId="2" applyNumberFormat="1" applyFont="1" applyFill="1" applyBorder="1" applyAlignment="1" applyProtection="1">
      <alignment horizontal="right"/>
      <protection locked="0"/>
    </xf>
    <xf numFmtId="166" fontId="47" fillId="0" borderId="9" xfId="2" applyNumberFormat="1" applyFont="1" applyFill="1" applyBorder="1" applyAlignment="1" applyProtection="1">
      <alignment horizontal="right"/>
      <protection locked="0"/>
    </xf>
    <xf numFmtId="0" fontId="43" fillId="0" borderId="32" xfId="2" applyFont="1" applyFill="1" applyBorder="1" applyAlignment="1" applyProtection="1">
      <alignment horizontal="left"/>
    </xf>
    <xf numFmtId="166" fontId="41" fillId="25" borderId="47" xfId="2" applyNumberFormat="1" applyFont="1" applyFill="1" applyBorder="1" applyAlignment="1" applyProtection="1">
      <alignment horizontal="right"/>
      <protection locked="0"/>
    </xf>
    <xf numFmtId="166" fontId="47" fillId="22" borderId="31" xfId="2" applyNumberFormat="1" applyFont="1" applyFill="1" applyBorder="1" applyAlignment="1" applyProtection="1">
      <alignment horizontal="right"/>
      <protection locked="0"/>
    </xf>
    <xf numFmtId="0" fontId="43" fillId="22" borderId="32" xfId="2" applyFont="1" applyFill="1" applyBorder="1" applyProtection="1"/>
    <xf numFmtId="166" fontId="41" fillId="25" borderId="18" xfId="2" applyNumberFormat="1" applyFont="1" applyFill="1" applyBorder="1" applyAlignment="1" applyProtection="1">
      <alignment horizontal="right"/>
      <protection locked="0"/>
    </xf>
    <xf numFmtId="166" fontId="41" fillId="26" borderId="31" xfId="2" applyNumberFormat="1" applyFont="1" applyFill="1" applyBorder="1" applyAlignment="1" applyProtection="1">
      <alignment horizontal="right"/>
      <protection locked="0"/>
    </xf>
    <xf numFmtId="0" fontId="41" fillId="26" borderId="32" xfId="2" applyFont="1" applyFill="1" applyBorder="1" applyProtection="1"/>
    <xf numFmtId="166" fontId="41" fillId="0" borderId="3" xfId="2" applyNumberFormat="1" applyFont="1" applyFill="1" applyBorder="1" applyAlignment="1" applyProtection="1">
      <alignment horizontal="right"/>
      <protection locked="0"/>
    </xf>
    <xf numFmtId="166" fontId="41" fillId="0" borderId="49" xfId="2" applyNumberFormat="1" applyFont="1" applyFill="1" applyBorder="1" applyAlignment="1" applyProtection="1">
      <alignment horizontal="right"/>
      <protection locked="0"/>
    </xf>
    <xf numFmtId="166" fontId="41" fillId="24" borderId="49" xfId="2" applyNumberFormat="1" applyFont="1" applyFill="1" applyBorder="1" applyAlignment="1" applyProtection="1">
      <alignment horizontal="right"/>
    </xf>
    <xf numFmtId="166" fontId="41" fillId="24" borderId="50" xfId="2" applyNumberFormat="1" applyFont="1" applyFill="1" applyBorder="1" applyAlignment="1" applyProtection="1">
      <alignment horizontal="right"/>
    </xf>
    <xf numFmtId="0" fontId="41" fillId="0" borderId="36" xfId="2" applyFont="1" applyFill="1" applyBorder="1" applyProtection="1"/>
    <xf numFmtId="10" fontId="29" fillId="0" borderId="51" xfId="2" applyNumberFormat="1" applyFont="1" applyBorder="1" applyAlignment="1" applyProtection="1">
      <alignment horizontal="center" vertical="center" wrapText="1"/>
    </xf>
    <xf numFmtId="0" fontId="29" fillId="0" borderId="51" xfId="2" applyFont="1" applyBorder="1" applyAlignment="1" applyProtection="1">
      <alignment horizontal="center" vertical="center" wrapText="1"/>
    </xf>
    <xf numFmtId="0" fontId="41" fillId="0" borderId="51" xfId="2" applyFont="1" applyBorder="1" applyAlignment="1" applyProtection="1">
      <alignment horizontal="center" vertical="center" wrapText="1"/>
    </xf>
    <xf numFmtId="0" fontId="29" fillId="18" borderId="13" xfId="2" applyFont="1" applyFill="1" applyBorder="1" applyAlignment="1" applyProtection="1">
      <alignment horizontal="center" vertical="center"/>
    </xf>
    <xf numFmtId="0" fontId="29" fillId="18" borderId="14" xfId="2" applyFont="1" applyFill="1" applyBorder="1" applyAlignment="1" applyProtection="1">
      <alignment horizontal="center" vertical="center" wrapText="1"/>
    </xf>
    <xf numFmtId="10" fontId="29" fillId="0" borderId="25" xfId="2" applyNumberFormat="1" applyFont="1" applyBorder="1" applyAlignment="1" applyProtection="1">
      <alignment horizontal="center" vertical="center" wrapText="1"/>
    </xf>
    <xf numFmtId="0" fontId="29" fillId="0" borderId="21" xfId="2" applyFont="1" applyBorder="1" applyAlignment="1" applyProtection="1">
      <alignment horizontal="center" vertical="center" wrapText="1"/>
    </xf>
    <xf numFmtId="0" fontId="41" fillId="0" borderId="21" xfId="2" applyFont="1" applyBorder="1" applyAlignment="1" applyProtection="1">
      <alignment horizontal="center" vertical="center" wrapText="1"/>
    </xf>
    <xf numFmtId="0" fontId="41" fillId="0" borderId="17" xfId="2" applyFont="1" applyBorder="1" applyAlignment="1" applyProtection="1">
      <alignment horizontal="center"/>
    </xf>
    <xf numFmtId="0" fontId="41" fillId="0" borderId="14" xfId="2" applyFont="1" applyBorder="1" applyAlignment="1" applyProtection="1">
      <alignment horizontal="center"/>
    </xf>
    <xf numFmtId="0" fontId="29" fillId="0" borderId="57" xfId="2" applyFont="1" applyBorder="1" applyAlignment="1" applyProtection="1">
      <alignment horizontal="center" vertical="center"/>
    </xf>
    <xf numFmtId="0" fontId="29" fillId="0" borderId="11" xfId="2" applyFont="1" applyBorder="1" applyAlignment="1" applyProtection="1">
      <alignment horizontal="center" vertical="center" wrapText="1"/>
    </xf>
    <xf numFmtId="0" fontId="29" fillId="23" borderId="23" xfId="2" applyFont="1" applyFill="1" applyBorder="1" applyAlignment="1" applyProtection="1">
      <alignment horizontal="center" vertical="center" wrapText="1"/>
    </xf>
    <xf numFmtId="0" fontId="29" fillId="23" borderId="56" xfId="2" applyFont="1" applyFill="1" applyBorder="1" applyAlignment="1" applyProtection="1">
      <alignment horizontal="center" vertical="center" wrapText="1"/>
    </xf>
    <xf numFmtId="0" fontId="29" fillId="23" borderId="12" xfId="2" applyFont="1" applyFill="1" applyBorder="1" applyAlignment="1" applyProtection="1">
      <alignment horizontal="center" vertical="center" wrapText="1"/>
    </xf>
    <xf numFmtId="0" fontId="29" fillId="0" borderId="5" xfId="2" applyFont="1" applyBorder="1" applyAlignment="1" applyProtection="1">
      <alignment horizontal="center" vertical="center"/>
    </xf>
    <xf numFmtId="0" fontId="29" fillId="0" borderId="54" xfId="2" applyFont="1" applyBorder="1" applyAlignment="1" applyProtection="1">
      <alignment horizontal="center" vertical="center" wrapText="1"/>
    </xf>
    <xf numFmtId="0" fontId="29" fillId="27" borderId="21" xfId="2" applyFont="1" applyFill="1" applyBorder="1" applyAlignment="1" applyProtection="1">
      <alignment horizontal="center" vertical="center" wrapText="1"/>
    </xf>
    <xf numFmtId="0" fontId="29" fillId="27" borderId="41" xfId="2" applyFont="1" applyFill="1" applyBorder="1" applyAlignment="1" applyProtection="1">
      <alignment horizontal="center" vertical="center" wrapText="1"/>
    </xf>
    <xf numFmtId="0" fontId="29" fillId="27" borderId="42" xfId="2" applyFont="1" applyFill="1" applyBorder="1" applyAlignment="1" applyProtection="1">
      <alignment horizontal="center" vertical="center" wrapText="1"/>
    </xf>
    <xf numFmtId="0" fontId="29" fillId="27" borderId="58" xfId="2" applyFont="1" applyFill="1" applyBorder="1" applyAlignment="1" applyProtection="1">
      <alignment horizontal="center" vertical="center" wrapText="1"/>
    </xf>
    <xf numFmtId="10" fontId="29" fillId="0" borderId="21" xfId="2" applyNumberFormat="1" applyFont="1" applyBorder="1" applyAlignment="1" applyProtection="1">
      <alignment horizontal="center" vertical="center" wrapText="1"/>
    </xf>
    <xf numFmtId="0" fontId="29" fillId="0" borderId="38" xfId="2" applyFont="1" applyBorder="1" applyAlignment="1" applyProtection="1">
      <alignment horizontal="center" vertical="center" wrapText="1"/>
    </xf>
    <xf numFmtId="0" fontId="41" fillId="0" borderId="0" xfId="2" applyFont="1"/>
    <xf numFmtId="10" fontId="41" fillId="15" borderId="0" xfId="2" applyNumberFormat="1" applyFont="1" applyFill="1" applyProtection="1"/>
    <xf numFmtId="0" fontId="41" fillId="0" borderId="0" xfId="2" applyFont="1" applyFill="1" applyAlignment="1" applyProtection="1">
      <alignment horizontal="left"/>
      <protection locked="0"/>
    </xf>
    <xf numFmtId="0" fontId="43" fillId="15" borderId="0" xfId="2" applyFont="1" applyFill="1" applyProtection="1"/>
    <xf numFmtId="0" fontId="29" fillId="0" borderId="0" xfId="2" applyFont="1" applyFill="1" applyAlignment="1" applyProtection="1">
      <alignment horizontal="left"/>
      <protection locked="0"/>
    </xf>
    <xf numFmtId="0" fontId="29" fillId="0" borderId="0" xfId="2" applyFont="1" applyFill="1" applyAlignment="1" applyProtection="1">
      <alignment horizontal="left"/>
      <protection locked="0"/>
    </xf>
    <xf numFmtId="0" fontId="29" fillId="15" borderId="0" xfId="2" applyFont="1" applyFill="1" applyProtection="1"/>
    <xf numFmtId="0" fontId="4" fillId="0" borderId="1" xfId="2" applyFont="1" applyFill="1" applyBorder="1" applyAlignment="1" applyProtection="1">
      <alignment horizontal="left"/>
      <protection locked="0"/>
    </xf>
    <xf numFmtId="0" fontId="4" fillId="0" borderId="4" xfId="2" applyFont="1" applyFill="1" applyBorder="1" applyAlignment="1" applyProtection="1">
      <alignment horizontal="left"/>
      <protection locked="0"/>
    </xf>
    <xf numFmtId="0" fontId="4" fillId="0" borderId="4" xfId="2" applyFont="1" applyFill="1" applyBorder="1" applyAlignment="1" applyProtection="1">
      <alignment horizontal="left"/>
      <protection locked="0"/>
    </xf>
    <xf numFmtId="0" fontId="48" fillId="0" borderId="5" xfId="2" applyFont="1" applyFill="1" applyBorder="1" applyAlignment="1" applyProtection="1">
      <alignment horizontal="left"/>
      <protection locked="0"/>
    </xf>
    <xf numFmtId="0" fontId="48" fillId="0" borderId="4" xfId="2" applyFont="1" applyFill="1" applyBorder="1" applyAlignment="1" applyProtection="1">
      <alignment horizontal="left"/>
      <protection locked="0"/>
    </xf>
    <xf numFmtId="0" fontId="48" fillId="0" borderId="0" xfId="2" applyFont="1" applyFill="1" applyBorder="1" applyAlignment="1" applyProtection="1">
      <alignment horizontal="left"/>
      <protection locked="0"/>
    </xf>
    <xf numFmtId="0" fontId="48" fillId="0" borderId="5" xfId="2" applyFont="1" applyFill="1" applyBorder="1" applyAlignment="1" applyProtection="1">
      <alignment horizontal="left"/>
      <protection locked="0"/>
    </xf>
    <xf numFmtId="0" fontId="49" fillId="0" borderId="4" xfId="2" applyFont="1" applyFill="1" applyBorder="1" applyAlignment="1" applyProtection="1">
      <alignment horizontal="left"/>
      <protection locked="0"/>
    </xf>
    <xf numFmtId="0" fontId="49" fillId="0" borderId="0" xfId="2" applyFont="1" applyFill="1" applyBorder="1" applyAlignment="1" applyProtection="1">
      <alignment horizontal="left"/>
      <protection locked="0"/>
    </xf>
    <xf numFmtId="166" fontId="4" fillId="0" borderId="6" xfId="2" applyNumberFormat="1" applyFont="1" applyFill="1" applyBorder="1" applyAlignment="1" applyProtection="1">
      <alignment horizontal="left"/>
      <protection locked="0"/>
    </xf>
    <xf numFmtId="0" fontId="1" fillId="30" borderId="0" xfId="2" applyFill="1" applyProtection="1"/>
    <xf numFmtId="0" fontId="35" fillId="30" borderId="0" xfId="2" applyFont="1" applyFill="1" applyProtection="1"/>
    <xf numFmtId="166" fontId="4" fillId="0" borderId="45" xfId="2" applyNumberFormat="1" applyFont="1" applyFill="1" applyBorder="1" applyProtection="1">
      <protection locked="0"/>
    </xf>
    <xf numFmtId="166" fontId="4" fillId="0" borderId="60" xfId="2" applyNumberFormat="1" applyFont="1" applyFill="1" applyBorder="1" applyProtection="1">
      <protection locked="0"/>
    </xf>
    <xf numFmtId="2" fontId="1" fillId="0" borderId="31" xfId="2" applyNumberFormat="1" applyFont="1" applyBorder="1" applyProtection="1">
      <protection locked="0"/>
    </xf>
    <xf numFmtId="169" fontId="1" fillId="0" borderId="30" xfId="2" applyNumberFormat="1" applyFont="1" applyBorder="1" applyProtection="1">
      <protection locked="0"/>
    </xf>
  </cellXfs>
  <cellStyles count="3">
    <cellStyle name="Normální" xfId="0" builtinId="0"/>
    <cellStyle name="Normální 2" xfId="2"/>
    <cellStyle name="normální_Tabulka školy, návrh rozpočtu" xfId="1"/>
  </cellStyles>
  <dxfs count="70">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theme="0"/>
      </font>
      <numFmt numFmtId="168" formatCode=";;;"/>
    </dxf>
    <dxf>
      <numFmt numFmtId="168" formatCode=";;;"/>
    </dxf>
    <dxf>
      <font>
        <color rgb="FFFFFFFF"/>
      </font>
      <numFmt numFmtId="168" formatCode=";;;"/>
    </dxf>
    <dxf>
      <numFmt numFmtId="168" formatCode=";;;"/>
    </dxf>
    <dxf>
      <font>
        <color rgb="FFFFFFFF"/>
      </font>
      <numFmt numFmtId="168" formatCode=";;;"/>
    </dxf>
    <dxf>
      <numFmt numFmtId="168"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h\Documents\TSMCH\Rozbory\Rozbory%20n&#225;klad&#367;%20a%20v&#253;nos&#367;%20-%20hlavn&#237;%20&#269;innost%20-%20rok%202021%20-%201-%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h\Documents\TSMCH\Pl&#225;n%202021\NR%202021%20+%20SVR%202022-23%20-%20TSmC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lanh\Documents\TSMCH\Rozbory\Rozbory%20n&#225;klad&#367;%20a%20v&#253;nos&#367;%20-%20hlavn&#237;%20&#269;innost%20-%20rok%202020%20-%20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yhodnocení hospodaření PO"/>
      <sheetName val="Vyhod. hosp. PO -střediska"/>
      <sheetName val="HČ - SKUT 2021"/>
      <sheetName val="101"/>
      <sheetName val="102"/>
      <sheetName val="103"/>
      <sheetName val="104"/>
      <sheetName val="105"/>
      <sheetName val="108"/>
      <sheetName val="200"/>
      <sheetName val="201"/>
      <sheetName val="202"/>
      <sheetName val="204"/>
      <sheetName val="205"/>
      <sheetName val="206"/>
      <sheetName val="208+209"/>
      <sheetName val="210"/>
      <sheetName val="211"/>
      <sheetName val="Rozbory"/>
      <sheetName val="HČ - SKUT 2016"/>
      <sheetName val="HČ - SKUT 2015"/>
      <sheetName val="HČ - SKUT 2014"/>
      <sheetName val="HČ - SKUT 2013"/>
      <sheetName val="HČ - SKUT 2012"/>
      <sheetName val="HČ - SKUT 2011"/>
      <sheetName val="pomocné 203+211"/>
      <sheetName val="Měsíční náklady"/>
      <sheetName val="Výnosy bez střediska"/>
      <sheetName val="10104"/>
      <sheetName val="203"/>
      <sheetName val="1090204"/>
      <sheetName val="1100206"/>
      <sheetName val="310210"/>
    </sheetNames>
    <sheetDataSet>
      <sheetData sheetId="0">
        <row r="15">
          <cell r="P15">
            <v>0</v>
          </cell>
          <cell r="Q15">
            <v>0</v>
          </cell>
          <cell r="R15">
            <v>9269399.5300000012</v>
          </cell>
          <cell r="T15">
            <v>8526841.3599999994</v>
          </cell>
        </row>
        <row r="16">
          <cell r="P16">
            <v>64971500</v>
          </cell>
          <cell r="Q16">
            <v>0</v>
          </cell>
          <cell r="R16">
            <v>0</v>
          </cell>
          <cell r="T16">
            <v>0</v>
          </cell>
        </row>
        <row r="17">
          <cell r="P17">
            <v>0</v>
          </cell>
          <cell r="Q17">
            <v>0</v>
          </cell>
          <cell r="R17">
            <v>0</v>
          </cell>
          <cell r="T17">
            <v>0</v>
          </cell>
        </row>
        <row r="18">
          <cell r="P18">
            <v>0</v>
          </cell>
          <cell r="Q18">
            <v>0</v>
          </cell>
          <cell r="R18">
            <v>0</v>
          </cell>
          <cell r="T18">
            <v>0</v>
          </cell>
        </row>
        <row r="19">
          <cell r="P19">
            <v>0</v>
          </cell>
          <cell r="Q19">
            <v>0</v>
          </cell>
          <cell r="R19">
            <v>0</v>
          </cell>
          <cell r="T19">
            <v>0</v>
          </cell>
        </row>
        <row r="20">
          <cell r="P20">
            <v>0</v>
          </cell>
          <cell r="Q20">
            <v>0</v>
          </cell>
          <cell r="R20">
            <v>106065</v>
          </cell>
          <cell r="T20">
            <v>0</v>
          </cell>
        </row>
        <row r="21">
          <cell r="P21">
            <v>0</v>
          </cell>
          <cell r="Q21">
            <v>0</v>
          </cell>
          <cell r="R21">
            <v>2312405.9399999976</v>
          </cell>
          <cell r="T21">
            <v>3216.1200000000003</v>
          </cell>
        </row>
        <row r="22">
          <cell r="P22">
            <v>0</v>
          </cell>
          <cell r="Q22">
            <v>0</v>
          </cell>
          <cell r="R22">
            <v>139024.05000000002</v>
          </cell>
          <cell r="T22">
            <v>0</v>
          </cell>
        </row>
        <row r="23">
          <cell r="P23">
            <v>0</v>
          </cell>
          <cell r="Q23">
            <v>0</v>
          </cell>
          <cell r="R23">
            <v>970000</v>
          </cell>
          <cell r="T23">
            <v>0</v>
          </cell>
        </row>
        <row r="28">
          <cell r="P28">
            <v>1284917.6059887528</v>
          </cell>
          <cell r="Q28">
            <v>0</v>
          </cell>
          <cell r="R28">
            <v>186066.954011247</v>
          </cell>
          <cell r="T28">
            <v>15356.21</v>
          </cell>
        </row>
        <row r="29">
          <cell r="P29">
            <v>6057448.8441229574</v>
          </cell>
          <cell r="Q29">
            <v>0</v>
          </cell>
          <cell r="R29">
            <v>877169.9058770414</v>
          </cell>
          <cell r="T29">
            <v>1276261.77</v>
          </cell>
        </row>
        <row r="30">
          <cell r="P30">
            <v>4726313.5245727282</v>
          </cell>
          <cell r="Q30">
            <v>0</v>
          </cell>
          <cell r="R30">
            <v>684410.23542727157</v>
          </cell>
          <cell r="T30">
            <v>33992.18</v>
          </cell>
        </row>
        <row r="31">
          <cell r="P31">
            <v>14182542.556149397</v>
          </cell>
          <cell r="Q31">
            <v>0</v>
          </cell>
          <cell r="R31">
            <v>2053752.3038506038</v>
          </cell>
          <cell r="T31">
            <v>1926141.25</v>
          </cell>
        </row>
        <row r="32">
          <cell r="P32">
            <v>22471171.798115004</v>
          </cell>
          <cell r="Q32">
            <v>0</v>
          </cell>
          <cell r="R32">
            <v>3254016.0318849995</v>
          </cell>
          <cell r="T32">
            <v>1573941.17</v>
          </cell>
        </row>
        <row r="33">
          <cell r="P33">
            <v>22117195.556472566</v>
          </cell>
          <cell r="Q33">
            <v>0</v>
          </cell>
          <cell r="R33">
            <v>3202757.2735274355</v>
          </cell>
          <cell r="T33">
            <v>1573941.17</v>
          </cell>
        </row>
        <row r="34">
          <cell r="P34">
            <v>353976.24164243595</v>
          </cell>
          <cell r="Q34">
            <v>0</v>
          </cell>
          <cell r="R34">
            <v>51258.75835756406</v>
          </cell>
          <cell r="T34">
            <v>0</v>
          </cell>
        </row>
        <row r="35">
          <cell r="P35">
            <v>7864334.9759267131</v>
          </cell>
          <cell r="Q35">
            <v>0</v>
          </cell>
          <cell r="R35">
            <v>1138822.3240732881</v>
          </cell>
          <cell r="T35">
            <v>576375.78</v>
          </cell>
        </row>
        <row r="36">
          <cell r="P36">
            <v>55845.149310114415</v>
          </cell>
          <cell r="Q36">
            <v>0</v>
          </cell>
          <cell r="R36">
            <v>8086.8506898855858</v>
          </cell>
          <cell r="T36">
            <v>3000</v>
          </cell>
        </row>
        <row r="37">
          <cell r="P37">
            <v>6854027.2788760373</v>
          </cell>
          <cell r="Q37">
            <v>0</v>
          </cell>
          <cell r="R37">
            <v>992521.211123963</v>
          </cell>
          <cell r="T37">
            <v>410916.51</v>
          </cell>
        </row>
        <row r="38">
          <cell r="P38">
            <v>4660835.6897275271</v>
          </cell>
          <cell r="Q38">
            <v>0</v>
          </cell>
          <cell r="R38">
            <v>674928.49027247401</v>
          </cell>
          <cell r="T38">
            <v>1062679.4300000002</v>
          </cell>
        </row>
        <row r="50">
          <cell r="D50"/>
          <cell r="E50"/>
          <cell r="F50"/>
        </row>
        <row r="51">
          <cell r="D51">
            <v>198936.75</v>
          </cell>
          <cell r="E51">
            <v>0</v>
          </cell>
          <cell r="F51">
            <v>0</v>
          </cell>
        </row>
        <row r="52">
          <cell r="D52">
            <v>6164029.6900000004</v>
          </cell>
          <cell r="E52">
            <v>8477234.1999999993</v>
          </cell>
          <cell r="F52">
            <v>3407826.02</v>
          </cell>
        </row>
        <row r="53">
          <cell r="D53">
            <v>0</v>
          </cell>
          <cell r="E53">
            <v>0</v>
          </cell>
          <cell r="F53">
            <v>0</v>
          </cell>
        </row>
        <row r="54">
          <cell r="D54">
            <v>214061.24</v>
          </cell>
          <cell r="E54">
            <v>538477.88</v>
          </cell>
          <cell r="F54">
            <v>642290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R 2021"/>
      <sheetName val="SVR 2022-2023"/>
    </sheetNames>
    <sheetDataSet>
      <sheetData sheetId="0">
        <row r="15">
          <cell r="V15">
            <v>0</v>
          </cell>
          <cell r="W15">
            <v>0</v>
          </cell>
          <cell r="X15">
            <v>16230000</v>
          </cell>
          <cell r="Z15">
            <v>15050000</v>
          </cell>
        </row>
        <row r="16">
          <cell r="V16">
            <v>129943000</v>
          </cell>
          <cell r="W16">
            <v>0</v>
          </cell>
          <cell r="X16">
            <v>0</v>
          </cell>
          <cell r="Z16">
            <v>0</v>
          </cell>
        </row>
        <row r="17">
          <cell r="V17">
            <v>0</v>
          </cell>
          <cell r="W17">
            <v>0</v>
          </cell>
          <cell r="X17">
            <v>0</v>
          </cell>
          <cell r="Z17">
            <v>0</v>
          </cell>
        </row>
        <row r="18">
          <cell r="V18">
            <v>0</v>
          </cell>
          <cell r="W18">
            <v>1261073</v>
          </cell>
          <cell r="X18">
            <v>0</v>
          </cell>
          <cell r="Z18">
            <v>0</v>
          </cell>
        </row>
        <row r="19">
          <cell r="V19">
            <v>0</v>
          </cell>
          <cell r="W19">
            <v>0</v>
          </cell>
          <cell r="X19">
            <v>0</v>
          </cell>
          <cell r="Z19">
            <v>0</v>
          </cell>
        </row>
        <row r="20">
          <cell r="V20">
            <v>0</v>
          </cell>
          <cell r="W20">
            <v>0</v>
          </cell>
          <cell r="X20">
            <v>0</v>
          </cell>
          <cell r="Z20">
            <v>0</v>
          </cell>
        </row>
        <row r="21">
          <cell r="V21">
            <v>0</v>
          </cell>
          <cell r="W21">
            <v>0</v>
          </cell>
          <cell r="X21">
            <v>1396342</v>
          </cell>
          <cell r="Z21">
            <v>6000</v>
          </cell>
        </row>
        <row r="22">
          <cell r="V22">
            <v>0</v>
          </cell>
          <cell r="W22">
            <v>0</v>
          </cell>
          <cell r="X22">
            <v>625000</v>
          </cell>
          <cell r="Z22">
            <v>0</v>
          </cell>
        </row>
        <row r="23">
          <cell r="V23">
            <v>0</v>
          </cell>
          <cell r="W23">
            <v>0</v>
          </cell>
          <cell r="X23">
            <v>0</v>
          </cell>
          <cell r="Z23">
            <v>0</v>
          </cell>
        </row>
        <row r="28">
          <cell r="V28">
            <v>2722735.6968463352</v>
          </cell>
          <cell r="W28">
            <v>0</v>
          </cell>
          <cell r="X28">
            <v>383663.13315366482</v>
          </cell>
          <cell r="Z28">
            <v>38000</v>
          </cell>
        </row>
        <row r="29">
          <cell r="V29">
            <v>9918710.0195216071</v>
          </cell>
          <cell r="W29">
            <v>0</v>
          </cell>
          <cell r="X29">
            <v>1341289.980478392</v>
          </cell>
          <cell r="Z29">
            <v>2407500</v>
          </cell>
        </row>
        <row r="30">
          <cell r="V30">
            <v>9818446.0074540265</v>
          </cell>
          <cell r="W30">
            <v>0</v>
          </cell>
          <cell r="X30">
            <v>1081553.9925459742</v>
          </cell>
          <cell r="Z30">
            <v>65000</v>
          </cell>
        </row>
        <row r="31">
          <cell r="V31">
            <v>25698764.067437712</v>
          </cell>
          <cell r="W31">
            <v>0</v>
          </cell>
          <cell r="X31">
            <v>3621235.9325622888</v>
          </cell>
          <cell r="Z31">
            <v>4296180</v>
          </cell>
        </row>
        <row r="32">
          <cell r="V32">
            <v>51600269.728187494</v>
          </cell>
          <cell r="W32">
            <v>450000</v>
          </cell>
          <cell r="X32">
            <v>7334450.2694624998</v>
          </cell>
          <cell r="Z32">
            <v>2711000</v>
          </cell>
        </row>
        <row r="33">
          <cell r="V33">
            <v>50903458.083112016</v>
          </cell>
          <cell r="W33">
            <v>450000</v>
          </cell>
          <cell r="X33">
            <v>7236261.9145379765</v>
          </cell>
          <cell r="Z33">
            <v>2711000</v>
          </cell>
        </row>
        <row r="34">
          <cell r="V34">
            <v>696811.64507547684</v>
          </cell>
          <cell r="W34">
            <v>0</v>
          </cell>
          <cell r="X34">
            <v>98188.35492452317</v>
          </cell>
          <cell r="Z34">
            <v>0</v>
          </cell>
        </row>
        <row r="35">
          <cell r="V35">
            <v>18633996.562691126</v>
          </cell>
          <cell r="W35">
            <v>0</v>
          </cell>
          <cell r="X35">
            <v>2625733.1964675752</v>
          </cell>
          <cell r="Z35">
            <v>978838</v>
          </cell>
        </row>
        <row r="36">
          <cell r="V36">
            <v>64071.611641531264</v>
          </cell>
          <cell r="W36">
            <v>0</v>
          </cell>
          <cell r="X36">
            <v>9028.3883584687355</v>
          </cell>
          <cell r="Z36">
            <v>360100</v>
          </cell>
        </row>
        <row r="37">
          <cell r="V37">
            <v>5661966.6491537709</v>
          </cell>
          <cell r="W37">
            <v>0</v>
          </cell>
          <cell r="X37">
            <v>1733199.350846228</v>
          </cell>
          <cell r="Z37">
            <v>1288200</v>
          </cell>
        </row>
        <row r="38">
          <cell r="V38">
            <v>6312763.2684331294</v>
          </cell>
          <cell r="W38">
            <v>0</v>
          </cell>
          <cell r="X38">
            <v>889537.14355371543</v>
          </cell>
          <cell r="Z38">
            <v>1840182</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yhodnocení hospodaření PO"/>
      <sheetName val="Vyhod. hosp. PO -střediska"/>
      <sheetName val="HČ - SKUT 2020"/>
      <sheetName val="101"/>
      <sheetName val="102"/>
      <sheetName val="103"/>
      <sheetName val="104"/>
      <sheetName val="105"/>
      <sheetName val="108"/>
      <sheetName val="200"/>
      <sheetName val="201"/>
      <sheetName val="202"/>
      <sheetName val="204"/>
      <sheetName val="205"/>
      <sheetName val="206"/>
      <sheetName val="208+209"/>
      <sheetName val="210"/>
      <sheetName val="211"/>
      <sheetName val="Rozbory"/>
      <sheetName val="HČ - SKUT 2016"/>
      <sheetName val="HČ - SKUT 2015"/>
      <sheetName val="HČ - SKUT 2014"/>
      <sheetName val="HČ - SKUT 2013"/>
      <sheetName val="HČ - SKUT 2012"/>
      <sheetName val="HČ - SKUT 2011"/>
      <sheetName val="pomocné 203+211"/>
      <sheetName val="Měsíční náklady"/>
      <sheetName val="Výnosy bez střediska"/>
      <sheetName val="10104"/>
      <sheetName val="203"/>
      <sheetName val="1090204"/>
      <sheetName val="1100206"/>
      <sheetName val="310210"/>
    </sheetNames>
    <sheetDataSet>
      <sheetData sheetId="0">
        <row r="15">
          <cell r="P15">
            <v>0</v>
          </cell>
          <cell r="Q15">
            <v>0</v>
          </cell>
          <cell r="R15">
            <v>16685637.51</v>
          </cell>
          <cell r="T15">
            <v>17108582.789999999</v>
          </cell>
        </row>
        <row r="16">
          <cell r="P16">
            <v>130031827.89999998</v>
          </cell>
          <cell r="Q16">
            <v>0</v>
          </cell>
          <cell r="R16">
            <v>0</v>
          </cell>
          <cell r="T16">
            <v>0</v>
          </cell>
        </row>
        <row r="17">
          <cell r="P17">
            <v>0</v>
          </cell>
          <cell r="Q17">
            <v>0</v>
          </cell>
          <cell r="R17">
            <v>0</v>
          </cell>
          <cell r="T17">
            <v>0</v>
          </cell>
        </row>
        <row r="18">
          <cell r="P18">
            <v>0</v>
          </cell>
          <cell r="Q18">
            <v>0</v>
          </cell>
          <cell r="R18">
            <v>0</v>
          </cell>
          <cell r="T18">
            <v>0</v>
          </cell>
        </row>
        <row r="19">
          <cell r="P19">
            <v>0</v>
          </cell>
          <cell r="Q19">
            <v>0</v>
          </cell>
          <cell r="R19">
            <v>0</v>
          </cell>
          <cell r="T19">
            <v>0</v>
          </cell>
        </row>
        <row r="20">
          <cell r="P20">
            <v>0</v>
          </cell>
          <cell r="Q20">
            <v>0</v>
          </cell>
          <cell r="R20">
            <v>3770031.26</v>
          </cell>
          <cell r="T20">
            <v>0</v>
          </cell>
        </row>
        <row r="21">
          <cell r="P21">
            <v>0</v>
          </cell>
          <cell r="Q21">
            <v>0</v>
          </cell>
          <cell r="R21">
            <v>3241328.8099999996</v>
          </cell>
          <cell r="T21">
            <v>63742.82</v>
          </cell>
        </row>
        <row r="22">
          <cell r="P22">
            <v>0</v>
          </cell>
          <cell r="Q22">
            <v>0</v>
          </cell>
          <cell r="R22">
            <v>200731.54</v>
          </cell>
          <cell r="T22">
            <v>0</v>
          </cell>
        </row>
        <row r="23">
          <cell r="P23">
            <v>0</v>
          </cell>
          <cell r="Q23">
            <v>0</v>
          </cell>
          <cell r="R23">
            <v>252066.11</v>
          </cell>
          <cell r="T23">
            <v>0</v>
          </cell>
        </row>
        <row r="28">
          <cell r="P28">
            <v>5603658.2740627648</v>
          </cell>
          <cell r="Q28">
            <v>0</v>
          </cell>
          <cell r="R28">
            <v>1021210.5659372357</v>
          </cell>
          <cell r="T28">
            <v>27239.68</v>
          </cell>
        </row>
        <row r="29">
          <cell r="P29">
            <v>7885946.5049045058</v>
          </cell>
          <cell r="Q29">
            <v>0</v>
          </cell>
          <cell r="R29">
            <v>1437134.7250954967</v>
          </cell>
          <cell r="T29">
            <v>2371005.12</v>
          </cell>
        </row>
        <row r="30">
          <cell r="P30">
            <v>9424133.6009009741</v>
          </cell>
          <cell r="Q30">
            <v>0</v>
          </cell>
          <cell r="R30">
            <v>1717453.9090990273</v>
          </cell>
          <cell r="T30">
            <v>74024.94</v>
          </cell>
        </row>
        <row r="31">
          <cell r="P31">
            <v>27541815.265608054</v>
          </cell>
          <cell r="Q31">
            <v>0</v>
          </cell>
          <cell r="R31">
            <v>5019219.8343919516</v>
          </cell>
          <cell r="T31">
            <v>3965371.5</v>
          </cell>
        </row>
        <row r="32">
          <cell r="P32">
            <v>46438537.308237344</v>
          </cell>
          <cell r="Q32">
            <v>0</v>
          </cell>
          <cell r="R32">
            <v>8462958.061762657</v>
          </cell>
          <cell r="T32">
            <v>3276445.63</v>
          </cell>
        </row>
        <row r="33">
          <cell r="P33">
            <v>45513977.13478931</v>
          </cell>
          <cell r="Q33">
            <v>0</v>
          </cell>
          <cell r="R33">
            <v>8294466.2352106879</v>
          </cell>
          <cell r="T33">
            <v>3276445.63</v>
          </cell>
        </row>
        <row r="34">
          <cell r="P34">
            <v>924560.1734480306</v>
          </cell>
          <cell r="Q34">
            <v>0</v>
          </cell>
          <cell r="R34">
            <v>168491.82655196948</v>
          </cell>
          <cell r="T34">
            <v>0</v>
          </cell>
        </row>
        <row r="35">
          <cell r="P35">
            <v>16765396.554696765</v>
          </cell>
          <cell r="Q35">
            <v>0</v>
          </cell>
          <cell r="R35">
            <v>3055325.5153032369</v>
          </cell>
          <cell r="T35">
            <v>1181605.53</v>
          </cell>
        </row>
        <row r="36">
          <cell r="P36">
            <v>57071.323251671027</v>
          </cell>
          <cell r="Q36">
            <v>0</v>
          </cell>
          <cell r="R36">
            <v>10400.676748328979</v>
          </cell>
          <cell r="T36">
            <v>249384</v>
          </cell>
        </row>
        <row r="37">
          <cell r="P37">
            <v>12484529.717091829</v>
          </cell>
          <cell r="Q37">
            <v>0</v>
          </cell>
          <cell r="R37">
            <v>2275180.4329081727</v>
          </cell>
          <cell r="T37">
            <v>993766.85000000009</v>
          </cell>
        </row>
        <row r="38">
          <cell r="P38">
            <v>6165910.99925608</v>
          </cell>
          <cell r="Q38">
            <v>0</v>
          </cell>
          <cell r="R38">
            <v>1123675.4907439598</v>
          </cell>
          <cell r="T38">
            <v>2227986.36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D276"/>
  <sheetViews>
    <sheetView showGridLines="0" tabSelected="1" zoomScale="80" zoomScaleNormal="80" zoomScalePageLayoutView="80" workbookViewId="0">
      <selection activeCell="C78" sqref="C78"/>
    </sheetView>
  </sheetViews>
  <sheetFormatPr defaultColWidth="9.140625" defaultRowHeight="15" zeroHeight="1" x14ac:dyDescent="0.25"/>
  <cols>
    <col min="1" max="1" width="4.5703125" customWidth="1"/>
    <col min="3" max="3" width="65.7109375" customWidth="1"/>
    <col min="4" max="4" width="16.5703125" customWidth="1"/>
    <col min="5" max="5" width="17.85546875" customWidth="1"/>
    <col min="6" max="6" width="16.85546875" customWidth="1"/>
    <col min="7" max="7" width="21.28515625" customWidth="1"/>
    <col min="8" max="8" width="14.140625" customWidth="1"/>
    <col min="9" max="9" width="11.28515625" customWidth="1"/>
    <col min="10" max="10" width="16.140625" customWidth="1"/>
    <col min="11" max="11" width="17.85546875" customWidth="1"/>
    <col min="12" max="12" width="13.7109375" customWidth="1"/>
    <col min="13" max="13" width="23.42578125" style="1" customWidth="1"/>
    <col min="14" max="14" width="13.28515625" customWidth="1"/>
    <col min="15" max="15" width="11.28515625" customWidth="1"/>
    <col min="16" max="18" width="16.42578125" customWidth="1"/>
    <col min="19" max="19" width="21.140625" customWidth="1"/>
    <col min="20" max="20" width="12.42578125" customWidth="1"/>
    <col min="21" max="21" width="10.7109375" customWidth="1"/>
    <col min="22" max="22" width="16.140625" customWidth="1"/>
    <col min="23" max="23" width="14.140625" customWidth="1"/>
    <col min="24" max="24" width="13.140625" customWidth="1"/>
    <col min="25" max="25" width="21.85546875" customWidth="1"/>
    <col min="26" max="26" width="12.5703125" customWidth="1"/>
    <col min="27" max="27" width="10.7109375" customWidth="1"/>
    <col min="28" max="28" width="17.7109375" customWidth="1"/>
    <col min="29" max="29" width="5.85546875" customWidth="1"/>
    <col min="30" max="30" width="11.5703125" hidden="1" customWidth="1"/>
  </cols>
  <sheetData>
    <row r="1" spans="1:30" x14ac:dyDescent="0.25">
      <c r="A1" s="4"/>
      <c r="B1" s="4"/>
      <c r="C1" s="4"/>
      <c r="D1" s="4"/>
      <c r="E1" s="4"/>
      <c r="F1" s="4"/>
      <c r="G1" s="4"/>
      <c r="H1" s="4"/>
      <c r="I1" s="4"/>
      <c r="J1" s="4"/>
      <c r="K1" s="4"/>
      <c r="L1" s="4"/>
      <c r="M1" s="169"/>
      <c r="N1" s="4"/>
      <c r="O1" s="4"/>
      <c r="P1" s="4"/>
      <c r="Q1" s="4"/>
      <c r="R1" s="4"/>
      <c r="S1" s="4"/>
      <c r="T1" s="4"/>
      <c r="U1" s="4"/>
      <c r="V1" s="2"/>
      <c r="W1" s="2"/>
      <c r="X1" s="2"/>
      <c r="Y1" s="2"/>
      <c r="Z1" s="2"/>
      <c r="AA1" s="2"/>
      <c r="AB1" s="2"/>
      <c r="AC1" s="2"/>
    </row>
    <row r="2" spans="1:30" ht="21" x14ac:dyDescent="0.35">
      <c r="A2" s="4"/>
      <c r="B2" s="174" t="s">
        <v>109</v>
      </c>
      <c r="C2" s="4"/>
      <c r="D2" s="4"/>
      <c r="E2" s="4"/>
      <c r="F2" s="4"/>
      <c r="G2" s="4"/>
      <c r="H2" s="4"/>
      <c r="I2" s="4"/>
      <c r="J2" s="4"/>
      <c r="K2" s="4"/>
      <c r="L2" s="4"/>
      <c r="M2" s="169"/>
      <c r="N2" s="4"/>
      <c r="O2" s="4"/>
      <c r="P2" s="4"/>
      <c r="Q2" s="4"/>
      <c r="R2" s="4"/>
      <c r="S2" s="4"/>
      <c r="T2" s="4"/>
      <c r="U2" s="4"/>
      <c r="V2" s="2"/>
      <c r="W2" s="2"/>
      <c r="X2" s="2"/>
      <c r="Y2" s="2"/>
      <c r="Z2" s="2"/>
      <c r="AA2" s="2"/>
      <c r="AB2" s="2"/>
      <c r="AC2" s="2"/>
    </row>
    <row r="3" spans="1:30" ht="7.5" customHeight="1" x14ac:dyDescent="0.25">
      <c r="A3" s="4"/>
      <c r="B3" s="4"/>
      <c r="C3" s="4"/>
      <c r="D3" s="4"/>
      <c r="E3" s="4"/>
      <c r="F3" s="4"/>
      <c r="G3" s="4"/>
      <c r="H3" s="4"/>
      <c r="I3" s="4"/>
      <c r="J3" s="4"/>
      <c r="K3" s="4"/>
      <c r="L3" s="4"/>
      <c r="M3" s="169"/>
      <c r="N3" s="4"/>
      <c r="O3" s="4"/>
      <c r="P3" s="4"/>
      <c r="Q3" s="4"/>
      <c r="R3" s="4"/>
      <c r="S3" s="4"/>
      <c r="T3" s="4"/>
      <c r="U3" s="4"/>
      <c r="V3" s="2"/>
      <c r="W3" s="2"/>
      <c r="X3" s="2"/>
      <c r="Y3" s="2"/>
      <c r="Z3" s="2"/>
      <c r="AA3" s="2"/>
      <c r="AB3" s="2"/>
      <c r="AC3" s="2"/>
    </row>
    <row r="4" spans="1:30" ht="21" x14ac:dyDescent="0.35">
      <c r="A4" s="4"/>
      <c r="B4" s="4" t="s">
        <v>108</v>
      </c>
      <c r="C4" s="4"/>
      <c r="D4" s="173" t="s">
        <v>107</v>
      </c>
      <c r="E4" s="173"/>
      <c r="F4" s="173"/>
      <c r="G4" s="173"/>
      <c r="H4" s="173"/>
      <c r="I4" s="173"/>
      <c r="J4" s="173"/>
      <c r="K4" s="173"/>
      <c r="L4" s="173"/>
      <c r="M4" s="173"/>
      <c r="N4" s="173"/>
      <c r="O4" s="173"/>
      <c r="P4" s="173"/>
      <c r="Q4" s="173"/>
      <c r="R4" s="173"/>
      <c r="S4" s="173"/>
      <c r="T4" s="173"/>
      <c r="U4" s="173"/>
      <c r="V4" s="2"/>
      <c r="W4" s="2"/>
      <c r="X4" s="2"/>
      <c r="Y4" s="2"/>
      <c r="Z4" s="2"/>
      <c r="AA4" s="2"/>
      <c r="AB4" s="2"/>
      <c r="AC4" s="2"/>
    </row>
    <row r="5" spans="1:30" ht="3.75" customHeight="1" x14ac:dyDescent="0.25">
      <c r="A5" s="4"/>
      <c r="B5" s="4"/>
      <c r="C5" s="4"/>
      <c r="D5" s="4"/>
      <c r="E5" s="4"/>
      <c r="F5" s="4"/>
      <c r="G5" s="4"/>
      <c r="H5" s="4"/>
      <c r="I5" s="4"/>
      <c r="J5" s="4"/>
      <c r="K5" s="4"/>
      <c r="L5" s="4"/>
      <c r="M5" s="169"/>
      <c r="N5" s="4"/>
      <c r="O5" s="4"/>
      <c r="P5" s="4"/>
      <c r="Q5" s="4"/>
      <c r="R5" s="4"/>
      <c r="S5" s="4"/>
      <c r="T5" s="4"/>
      <c r="U5" s="4"/>
      <c r="V5" s="2"/>
      <c r="W5" s="2"/>
      <c r="X5" s="2"/>
      <c r="Y5" s="2"/>
      <c r="Z5" s="2"/>
      <c r="AA5" s="2"/>
      <c r="AB5" s="2"/>
      <c r="AC5" s="2"/>
    </row>
    <row r="6" spans="1:30" x14ac:dyDescent="0.25">
      <c r="A6" s="4"/>
      <c r="B6" s="4" t="s">
        <v>106</v>
      </c>
      <c r="C6" s="4"/>
      <c r="D6" s="172" t="s">
        <v>105</v>
      </c>
      <c r="E6" s="4"/>
      <c r="F6" s="4"/>
      <c r="G6" s="4"/>
      <c r="H6" s="4"/>
      <c r="I6" s="4"/>
      <c r="J6" s="4"/>
      <c r="K6" s="4"/>
      <c r="L6" s="4"/>
      <c r="M6" s="169"/>
      <c r="N6" s="4"/>
      <c r="O6" s="4"/>
      <c r="P6" s="4"/>
      <c r="Q6" s="4"/>
      <c r="R6" s="4"/>
      <c r="S6" s="4"/>
      <c r="T6" s="4"/>
      <c r="U6" s="4"/>
      <c r="V6" s="2"/>
      <c r="W6" s="2"/>
      <c r="X6" s="2"/>
      <c r="Y6" s="2"/>
      <c r="Z6" s="2"/>
      <c r="AA6" s="2"/>
      <c r="AB6" s="2"/>
      <c r="AC6" s="2"/>
    </row>
    <row r="7" spans="1:30" ht="3.75" customHeight="1" x14ac:dyDescent="0.25">
      <c r="A7" s="4"/>
      <c r="B7" s="4"/>
      <c r="C7" s="4"/>
      <c r="D7" s="171"/>
      <c r="E7" s="4"/>
      <c r="F7" s="4"/>
      <c r="G7" s="4"/>
      <c r="H7" s="4"/>
      <c r="I7" s="4"/>
      <c r="J7" s="4"/>
      <c r="K7" s="4"/>
      <c r="L7" s="4"/>
      <c r="M7" s="169"/>
      <c r="N7" s="4"/>
      <c r="O7" s="4"/>
      <c r="P7" s="4"/>
      <c r="Q7" s="4"/>
      <c r="R7" s="4"/>
      <c r="S7" s="4"/>
      <c r="T7" s="4"/>
      <c r="U7" s="4"/>
      <c r="V7" s="2"/>
      <c r="W7" s="2"/>
      <c r="X7" s="2"/>
      <c r="Y7" s="2"/>
      <c r="Z7" s="2"/>
      <c r="AA7" s="2"/>
      <c r="AB7" s="2"/>
      <c r="AC7" s="2"/>
    </row>
    <row r="8" spans="1:30" x14ac:dyDescent="0.25">
      <c r="A8" s="4"/>
      <c r="B8" s="4" t="s">
        <v>104</v>
      </c>
      <c r="C8" s="4"/>
      <c r="D8" s="170" t="s">
        <v>103</v>
      </c>
      <c r="E8" s="170"/>
      <c r="F8" s="170"/>
      <c r="G8" s="170"/>
      <c r="H8" s="170"/>
      <c r="I8" s="170"/>
      <c r="J8" s="170"/>
      <c r="K8" s="170"/>
      <c r="L8" s="170"/>
      <c r="M8" s="170"/>
      <c r="N8" s="170"/>
      <c r="O8" s="170"/>
      <c r="P8" s="170"/>
      <c r="Q8" s="170"/>
      <c r="R8" s="170"/>
      <c r="S8" s="170"/>
      <c r="T8" s="170"/>
      <c r="U8" s="170"/>
      <c r="V8" s="2"/>
      <c r="W8" s="2"/>
      <c r="X8" s="2"/>
      <c r="Y8" s="2"/>
      <c r="Z8" s="2"/>
      <c r="AA8" s="2"/>
      <c r="AB8" s="2"/>
      <c r="AC8" s="2"/>
    </row>
    <row r="9" spans="1:30" ht="15.75" thickBot="1" x14ac:dyDescent="0.3">
      <c r="A9" s="4"/>
      <c r="B9" s="4"/>
      <c r="C9" s="4"/>
      <c r="D9" s="4"/>
      <c r="E9" s="4"/>
      <c r="F9" s="4"/>
      <c r="G9" s="4"/>
      <c r="H9" s="4"/>
      <c r="I9" s="4"/>
      <c r="J9" s="4"/>
      <c r="K9" s="4"/>
      <c r="L9" s="4"/>
      <c r="M9" s="169"/>
      <c r="N9" s="4"/>
      <c r="O9" s="4"/>
      <c r="P9" s="4"/>
      <c r="Q9" s="4"/>
      <c r="R9" s="4"/>
      <c r="S9" s="4"/>
      <c r="T9" s="4"/>
      <c r="U9" s="4"/>
      <c r="V9" s="2"/>
      <c r="W9" s="2"/>
      <c r="X9" s="2"/>
      <c r="Y9" s="2"/>
      <c r="Z9" s="2"/>
      <c r="AA9" s="2"/>
      <c r="AB9" s="2"/>
      <c r="AC9" s="2"/>
    </row>
    <row r="10" spans="1:30" ht="29.25" customHeight="1" thickBot="1" x14ac:dyDescent="0.3">
      <c r="A10" s="4"/>
      <c r="B10" s="164" t="s">
        <v>67</v>
      </c>
      <c r="C10" s="163" t="s">
        <v>66</v>
      </c>
      <c r="D10" s="168" t="s">
        <v>102</v>
      </c>
      <c r="E10" s="168"/>
      <c r="F10" s="168"/>
      <c r="G10" s="168"/>
      <c r="H10" s="168"/>
      <c r="I10" s="168"/>
      <c r="J10" s="168" t="s">
        <v>101</v>
      </c>
      <c r="K10" s="168"/>
      <c r="L10" s="168"/>
      <c r="M10" s="168"/>
      <c r="N10" s="168"/>
      <c r="O10" s="168"/>
      <c r="P10" s="168" t="s">
        <v>100</v>
      </c>
      <c r="Q10" s="168"/>
      <c r="R10" s="168"/>
      <c r="S10" s="168"/>
      <c r="T10" s="168"/>
      <c r="U10" s="168"/>
      <c r="V10" s="168" t="s">
        <v>99</v>
      </c>
      <c r="W10" s="168"/>
      <c r="X10" s="168"/>
      <c r="Y10" s="168"/>
      <c r="Z10" s="168"/>
      <c r="AA10" s="168"/>
      <c r="AB10" s="155" t="s">
        <v>68</v>
      </c>
      <c r="AC10" s="2"/>
      <c r="AD10" s="2"/>
    </row>
    <row r="11" spans="1:30" ht="30.75" customHeight="1" thickBot="1" x14ac:dyDescent="0.3">
      <c r="A11" s="4"/>
      <c r="B11" s="164"/>
      <c r="C11" s="163"/>
      <c r="D11" s="167" t="s">
        <v>98</v>
      </c>
      <c r="E11" s="167"/>
      <c r="F11" s="167"/>
      <c r="G11" s="167"/>
      <c r="H11" s="166" t="s">
        <v>97</v>
      </c>
      <c r="I11" s="166" t="s">
        <v>96</v>
      </c>
      <c r="J11" s="167" t="s">
        <v>98</v>
      </c>
      <c r="K11" s="167"/>
      <c r="L11" s="167"/>
      <c r="M11" s="167"/>
      <c r="N11" s="166" t="s">
        <v>97</v>
      </c>
      <c r="O11" s="166" t="s">
        <v>96</v>
      </c>
      <c r="P11" s="167" t="s">
        <v>98</v>
      </c>
      <c r="Q11" s="167"/>
      <c r="R11" s="167"/>
      <c r="S11" s="167"/>
      <c r="T11" s="166" t="s">
        <v>97</v>
      </c>
      <c r="U11" s="166" t="s">
        <v>96</v>
      </c>
      <c r="V11" s="167" t="s">
        <v>98</v>
      </c>
      <c r="W11" s="167"/>
      <c r="X11" s="167"/>
      <c r="Y11" s="167"/>
      <c r="Z11" s="166" t="s">
        <v>97</v>
      </c>
      <c r="AA11" s="166" t="s">
        <v>96</v>
      </c>
      <c r="AB11" s="155"/>
      <c r="AC11" s="2"/>
      <c r="AD11" s="2"/>
    </row>
    <row r="12" spans="1:30" ht="15.75" customHeight="1" thickBot="1" x14ac:dyDescent="0.3">
      <c r="A12" s="4"/>
      <c r="B12" s="164"/>
      <c r="C12" s="163"/>
      <c r="D12" s="165" t="s">
        <v>92</v>
      </c>
      <c r="E12" s="165"/>
      <c r="F12" s="165"/>
      <c r="G12" s="165"/>
      <c r="H12" s="165"/>
      <c r="I12" s="165"/>
      <c r="J12" s="165" t="s">
        <v>92</v>
      </c>
      <c r="K12" s="165"/>
      <c r="L12" s="165"/>
      <c r="M12" s="165"/>
      <c r="N12" s="165"/>
      <c r="O12" s="165"/>
      <c r="P12" s="165" t="s">
        <v>92</v>
      </c>
      <c r="Q12" s="165"/>
      <c r="R12" s="165"/>
      <c r="S12" s="165"/>
      <c r="T12" s="165"/>
      <c r="U12" s="165"/>
      <c r="V12" s="165" t="s">
        <v>92</v>
      </c>
      <c r="W12" s="165"/>
      <c r="X12" s="165"/>
      <c r="Y12" s="165"/>
      <c r="Z12" s="165"/>
      <c r="AA12" s="165"/>
      <c r="AB12" s="155"/>
      <c r="AC12" s="2"/>
      <c r="AD12" s="2"/>
    </row>
    <row r="13" spans="1:30" ht="15.75" customHeight="1" thickBot="1" x14ac:dyDescent="0.3">
      <c r="A13" s="4"/>
      <c r="B13" s="164"/>
      <c r="C13" s="163"/>
      <c r="D13" s="162" t="s">
        <v>95</v>
      </c>
      <c r="E13" s="162"/>
      <c r="F13" s="162"/>
      <c r="G13" s="110" t="s">
        <v>94</v>
      </c>
      <c r="H13" s="157" t="s">
        <v>93</v>
      </c>
      <c r="I13" s="156" t="s">
        <v>92</v>
      </c>
      <c r="J13" s="162" t="s">
        <v>95</v>
      </c>
      <c r="K13" s="162"/>
      <c r="L13" s="162"/>
      <c r="M13" s="110" t="s">
        <v>94</v>
      </c>
      <c r="N13" s="157" t="s">
        <v>93</v>
      </c>
      <c r="O13" s="156" t="s">
        <v>92</v>
      </c>
      <c r="P13" s="162" t="s">
        <v>95</v>
      </c>
      <c r="Q13" s="162"/>
      <c r="R13" s="162"/>
      <c r="S13" s="110" t="s">
        <v>94</v>
      </c>
      <c r="T13" s="157" t="s">
        <v>93</v>
      </c>
      <c r="U13" s="156" t="s">
        <v>92</v>
      </c>
      <c r="V13" s="162" t="s">
        <v>95</v>
      </c>
      <c r="W13" s="162"/>
      <c r="X13" s="162"/>
      <c r="Y13" s="110" t="s">
        <v>94</v>
      </c>
      <c r="Z13" s="157" t="s">
        <v>93</v>
      </c>
      <c r="AA13" s="156" t="s">
        <v>92</v>
      </c>
      <c r="AB13" s="155"/>
      <c r="AC13" s="2"/>
      <c r="AD13" s="2"/>
    </row>
    <row r="14" spans="1:30" ht="15.75" thickBot="1" x14ac:dyDescent="0.3">
      <c r="A14" s="4"/>
      <c r="B14" s="161"/>
      <c r="C14" s="160"/>
      <c r="D14" s="159" t="s">
        <v>91</v>
      </c>
      <c r="E14" s="158" t="s">
        <v>90</v>
      </c>
      <c r="F14" s="158" t="s">
        <v>89</v>
      </c>
      <c r="G14" s="110"/>
      <c r="H14" s="157"/>
      <c r="I14" s="156"/>
      <c r="J14" s="159" t="s">
        <v>91</v>
      </c>
      <c r="K14" s="158" t="s">
        <v>90</v>
      </c>
      <c r="L14" s="158" t="s">
        <v>89</v>
      </c>
      <c r="M14" s="110"/>
      <c r="N14" s="157"/>
      <c r="O14" s="156"/>
      <c r="P14" s="159" t="s">
        <v>91</v>
      </c>
      <c r="Q14" s="158" t="s">
        <v>90</v>
      </c>
      <c r="R14" s="158" t="s">
        <v>89</v>
      </c>
      <c r="S14" s="110"/>
      <c r="T14" s="157"/>
      <c r="U14" s="156"/>
      <c r="V14" s="159" t="s">
        <v>91</v>
      </c>
      <c r="W14" s="158" t="s">
        <v>90</v>
      </c>
      <c r="X14" s="158" t="s">
        <v>89</v>
      </c>
      <c r="Y14" s="110"/>
      <c r="Z14" s="157"/>
      <c r="AA14" s="156"/>
      <c r="AB14" s="155"/>
      <c r="AC14" s="2"/>
      <c r="AD14" s="2"/>
    </row>
    <row r="15" spans="1:30" x14ac:dyDescent="0.25">
      <c r="A15" s="4"/>
      <c r="B15" s="106" t="s">
        <v>88</v>
      </c>
      <c r="C15" s="105" t="s">
        <v>87</v>
      </c>
      <c r="D15" s="154"/>
      <c r="E15" s="153"/>
      <c r="F15" s="152">
        <v>1997.3</v>
      </c>
      <c r="G15" s="151">
        <f>SUM(D15:F15)</f>
        <v>1997.3</v>
      </c>
      <c r="H15" s="138">
        <v>0</v>
      </c>
      <c r="I15" s="92">
        <f>G15+H15</f>
        <v>1997.3</v>
      </c>
      <c r="J15" s="154"/>
      <c r="K15" s="153"/>
      <c r="L15" s="152">
        <v>2994</v>
      </c>
      <c r="M15" s="151">
        <f>SUM(J15:L15)</f>
        <v>2994</v>
      </c>
      <c r="N15" s="138">
        <v>0</v>
      </c>
      <c r="O15" s="92">
        <f>M15+N15</f>
        <v>2994</v>
      </c>
      <c r="P15" s="154"/>
      <c r="Q15" s="153"/>
      <c r="R15" s="152">
        <v>972</v>
      </c>
      <c r="S15" s="151">
        <f>SUM(P15:R15)</f>
        <v>972</v>
      </c>
      <c r="T15" s="138">
        <v>0</v>
      </c>
      <c r="U15" s="92">
        <f>S15+T15</f>
        <v>972</v>
      </c>
      <c r="V15" s="154"/>
      <c r="W15" s="153"/>
      <c r="X15" s="152">
        <v>3024</v>
      </c>
      <c r="Y15" s="151">
        <f>SUM(V15:X15)</f>
        <v>3024</v>
      </c>
      <c r="Z15" s="138">
        <v>0</v>
      </c>
      <c r="AA15" s="92">
        <f>Y15+Z15</f>
        <v>3024</v>
      </c>
      <c r="AB15" s="62">
        <f>(AA15/O15)</f>
        <v>1.0100200400801602</v>
      </c>
      <c r="AC15" s="2"/>
      <c r="AD15" s="2"/>
    </row>
    <row r="16" spans="1:30" x14ac:dyDescent="0.25">
      <c r="A16" s="4"/>
      <c r="B16" s="96" t="s">
        <v>86</v>
      </c>
      <c r="C16" s="150" t="s">
        <v>85</v>
      </c>
      <c r="D16" s="149">
        <v>26538</v>
      </c>
      <c r="E16" s="136"/>
      <c r="F16" s="136"/>
      <c r="G16" s="134">
        <f>SUM(D16:F16)</f>
        <v>26538</v>
      </c>
      <c r="H16" s="148"/>
      <c r="I16" s="92">
        <f>G16+H16</f>
        <v>26538</v>
      </c>
      <c r="J16" s="149">
        <v>26000</v>
      </c>
      <c r="K16" s="136"/>
      <c r="L16" s="136"/>
      <c r="M16" s="134">
        <f>SUM(J16:L16)</f>
        <v>26000</v>
      </c>
      <c r="N16" s="148"/>
      <c r="O16" s="92">
        <f>M16+N16</f>
        <v>26000</v>
      </c>
      <c r="P16" s="149">
        <v>12740</v>
      </c>
      <c r="Q16" s="136"/>
      <c r="R16" s="136"/>
      <c r="S16" s="134">
        <f>SUM(P16:R16)</f>
        <v>12740</v>
      </c>
      <c r="T16" s="148"/>
      <c r="U16" s="92">
        <f>S16+T16</f>
        <v>12740</v>
      </c>
      <c r="V16" s="149">
        <f>27789+865</f>
        <v>28654</v>
      </c>
      <c r="W16" s="136"/>
      <c r="X16" s="136"/>
      <c r="Y16" s="134">
        <f>SUM(V16:X16)</f>
        <v>28654</v>
      </c>
      <c r="Z16" s="148"/>
      <c r="AA16" s="92">
        <f>Y16+Z16</f>
        <v>28654</v>
      </c>
      <c r="AB16" s="62">
        <f>(AA16/O16)</f>
        <v>1.1020769230769232</v>
      </c>
      <c r="AC16" s="2"/>
      <c r="AD16" s="2"/>
    </row>
    <row r="17" spans="1:30" x14ac:dyDescent="0.25">
      <c r="A17" s="4"/>
      <c r="B17" s="96" t="s">
        <v>84</v>
      </c>
      <c r="C17" s="147" t="s">
        <v>83</v>
      </c>
      <c r="D17" s="146"/>
      <c r="E17" s="141"/>
      <c r="F17" s="141"/>
      <c r="G17" s="134">
        <f>SUM(D17:F17)</f>
        <v>0</v>
      </c>
      <c r="H17" s="145"/>
      <c r="I17" s="92">
        <f>G17+H17</f>
        <v>0</v>
      </c>
      <c r="J17" s="146"/>
      <c r="K17" s="141"/>
      <c r="L17" s="141"/>
      <c r="M17" s="134">
        <f>SUM(J17:L17)</f>
        <v>0</v>
      </c>
      <c r="N17" s="145"/>
      <c r="O17" s="92">
        <f>M17+N17</f>
        <v>0</v>
      </c>
      <c r="P17" s="146"/>
      <c r="Q17" s="141"/>
      <c r="R17" s="141"/>
      <c r="S17" s="134">
        <f>SUM(P17:R17)</f>
        <v>0</v>
      </c>
      <c r="T17" s="145"/>
      <c r="U17" s="92">
        <f>S17+T17</f>
        <v>0</v>
      </c>
      <c r="V17" s="146"/>
      <c r="W17" s="141"/>
      <c r="X17" s="141"/>
      <c r="Y17" s="134">
        <f>SUM(V17:X17)</f>
        <v>0</v>
      </c>
      <c r="Z17" s="145"/>
      <c r="AA17" s="92">
        <f>Y17+Z17</f>
        <v>0</v>
      </c>
      <c r="AB17" s="62" t="e">
        <f>(AA17/O17)</f>
        <v>#DIV/0!</v>
      </c>
      <c r="AC17" s="2"/>
      <c r="AD17" s="2"/>
    </row>
    <row r="18" spans="1:30" x14ac:dyDescent="0.25">
      <c r="A18" s="4"/>
      <c r="B18" s="96" t="s">
        <v>82</v>
      </c>
      <c r="C18" s="144" t="s">
        <v>81</v>
      </c>
      <c r="D18" s="137"/>
      <c r="E18" s="140">
        <f>1235+22.1</f>
        <v>1257.0999999999999</v>
      </c>
      <c r="F18" s="141"/>
      <c r="G18" s="134">
        <f>SUM(D18:F18)</f>
        <v>1257.0999999999999</v>
      </c>
      <c r="H18" s="138"/>
      <c r="I18" s="92">
        <f>G18+H18</f>
        <v>1257.0999999999999</v>
      </c>
      <c r="J18" s="137"/>
      <c r="K18" s="140">
        <v>1235</v>
      </c>
      <c r="L18" s="141"/>
      <c r="M18" s="134">
        <f>SUM(J18:L18)</f>
        <v>1235</v>
      </c>
      <c r="N18" s="138"/>
      <c r="O18" s="92">
        <f>M18+N18</f>
        <v>1235</v>
      </c>
      <c r="P18" s="137"/>
      <c r="Q18" s="140">
        <v>17.899999999999999</v>
      </c>
      <c r="R18" s="141"/>
      <c r="S18" s="134">
        <f>SUM(P18:R18)</f>
        <v>17.899999999999999</v>
      </c>
      <c r="T18" s="138"/>
      <c r="U18" s="92">
        <f>S18+T18</f>
        <v>17.899999999999999</v>
      </c>
      <c r="V18" s="137"/>
      <c r="W18" s="140">
        <v>1300</v>
      </c>
      <c r="X18" s="141"/>
      <c r="Y18" s="134">
        <f>SUM(V18:X18)</f>
        <v>1300</v>
      </c>
      <c r="Z18" s="138"/>
      <c r="AA18" s="92">
        <f>Y18+Z18</f>
        <v>1300</v>
      </c>
      <c r="AB18" s="62">
        <f>(AA18/O18)</f>
        <v>1.0526315789473684</v>
      </c>
      <c r="AC18" s="2"/>
      <c r="AD18" s="2"/>
    </row>
    <row r="19" spans="1:30" x14ac:dyDescent="0.25">
      <c r="A19" s="4"/>
      <c r="B19" s="96" t="s">
        <v>80</v>
      </c>
      <c r="C19" s="143" t="s">
        <v>79</v>
      </c>
      <c r="D19" s="142">
        <v>46</v>
      </c>
      <c r="E19" s="141"/>
      <c r="F19" s="140"/>
      <c r="G19" s="134">
        <f>SUM(D19:F19)</f>
        <v>46</v>
      </c>
      <c r="H19" s="138"/>
      <c r="I19" s="92">
        <f>G19+H19</f>
        <v>46</v>
      </c>
      <c r="J19" s="142">
        <v>48</v>
      </c>
      <c r="K19" s="141"/>
      <c r="L19" s="140"/>
      <c r="M19" s="134">
        <f>SUM(J19:L19)</f>
        <v>48</v>
      </c>
      <c r="N19" s="138"/>
      <c r="O19" s="92">
        <f>M19+N19</f>
        <v>48</v>
      </c>
      <c r="P19" s="142">
        <v>23</v>
      </c>
      <c r="Q19" s="141"/>
      <c r="R19" s="140"/>
      <c r="S19" s="134">
        <f>SUM(P19:R19)</f>
        <v>23</v>
      </c>
      <c r="T19" s="138"/>
      <c r="U19" s="92">
        <f>S19+T19</f>
        <v>23</v>
      </c>
      <c r="V19" s="142">
        <v>46</v>
      </c>
      <c r="W19" s="141"/>
      <c r="X19" s="140"/>
      <c r="Y19" s="134">
        <f>SUM(V19:X19)</f>
        <v>46</v>
      </c>
      <c r="Z19" s="138"/>
      <c r="AA19" s="92">
        <f>Y19+Z19</f>
        <v>46</v>
      </c>
      <c r="AB19" s="62">
        <f>(AA19/O19)</f>
        <v>0.95833333333333337</v>
      </c>
      <c r="AC19" s="2"/>
      <c r="AD19" s="2"/>
    </row>
    <row r="20" spans="1:30" x14ac:dyDescent="0.25">
      <c r="A20" s="4"/>
      <c r="B20" s="96" t="s">
        <v>78</v>
      </c>
      <c r="C20" s="95" t="s">
        <v>77</v>
      </c>
      <c r="D20" s="137"/>
      <c r="E20" s="136"/>
      <c r="F20" s="135"/>
      <c r="G20" s="134"/>
      <c r="H20" s="138"/>
      <c r="I20" s="92">
        <f>G20+H20</f>
        <v>0</v>
      </c>
      <c r="J20" s="137"/>
      <c r="K20" s="136"/>
      <c r="L20" s="139">
        <v>300</v>
      </c>
      <c r="M20" s="134">
        <f>SUM(J20:L20)</f>
        <v>300</v>
      </c>
      <c r="N20" s="138"/>
      <c r="O20" s="92">
        <f>M20+N20</f>
        <v>300</v>
      </c>
      <c r="P20" s="137"/>
      <c r="Q20" s="136"/>
      <c r="R20" s="135">
        <v>0</v>
      </c>
      <c r="S20" s="134">
        <f>SUM(P20:R20)</f>
        <v>0</v>
      </c>
      <c r="T20" s="138"/>
      <c r="U20" s="92">
        <f>S20+T20</f>
        <v>0</v>
      </c>
      <c r="V20" s="137"/>
      <c r="W20" s="136"/>
      <c r="X20" s="135"/>
      <c r="Y20" s="134">
        <f>SUM(V20:X20)</f>
        <v>0</v>
      </c>
      <c r="Z20" s="138"/>
      <c r="AA20" s="92">
        <f>Y20+Z20</f>
        <v>0</v>
      </c>
      <c r="AB20" s="62">
        <f>(AA20/O20)</f>
        <v>0</v>
      </c>
      <c r="AC20" s="2"/>
      <c r="AD20" s="2"/>
    </row>
    <row r="21" spans="1:30" x14ac:dyDescent="0.25">
      <c r="A21" s="4"/>
      <c r="B21" s="96" t="s">
        <v>76</v>
      </c>
      <c r="C21" s="95" t="s">
        <v>75</v>
      </c>
      <c r="D21" s="137"/>
      <c r="E21" s="136">
        <v>57.2</v>
      </c>
      <c r="F21" s="135">
        <v>138.5</v>
      </c>
      <c r="G21" s="134">
        <f>SUM(D21:F21)</f>
        <v>195.7</v>
      </c>
      <c r="H21" s="133"/>
      <c r="I21" s="92">
        <f>G21+H21</f>
        <v>195.7</v>
      </c>
      <c r="J21" s="137"/>
      <c r="K21" s="136"/>
      <c r="L21" s="135">
        <v>175</v>
      </c>
      <c r="M21" s="134">
        <f>SUM(J21:L21)</f>
        <v>175</v>
      </c>
      <c r="N21" s="133"/>
      <c r="O21" s="92">
        <f>M21+N21</f>
        <v>175</v>
      </c>
      <c r="P21" s="137"/>
      <c r="Q21" s="136">
        <v>49.2</v>
      </c>
      <c r="R21" s="135">
        <v>22.5</v>
      </c>
      <c r="S21" s="134">
        <f>SUM(P21:R21)</f>
        <v>71.7</v>
      </c>
      <c r="T21" s="133"/>
      <c r="U21" s="92">
        <f>S21+T21</f>
        <v>71.7</v>
      </c>
      <c r="V21" s="137"/>
      <c r="W21" s="136"/>
      <c r="X21" s="135">
        <v>175</v>
      </c>
      <c r="Y21" s="134">
        <f>SUM(V21:X21)</f>
        <v>175</v>
      </c>
      <c r="Z21" s="133"/>
      <c r="AA21" s="92">
        <f>Y21+Z21</f>
        <v>175</v>
      </c>
      <c r="AB21" s="62">
        <f>(AA21/O21)</f>
        <v>1</v>
      </c>
      <c r="AC21" s="2"/>
      <c r="AD21" s="2"/>
    </row>
    <row r="22" spans="1:30" x14ac:dyDescent="0.25">
      <c r="A22" s="4"/>
      <c r="B22" s="96" t="s">
        <v>74</v>
      </c>
      <c r="C22" s="95" t="s">
        <v>73</v>
      </c>
      <c r="D22" s="137"/>
      <c r="E22" s="136"/>
      <c r="F22" s="135"/>
      <c r="G22" s="134">
        <f>SUM(D22:F22)</f>
        <v>0</v>
      </c>
      <c r="H22" s="133"/>
      <c r="I22" s="92">
        <f>G22+H22</f>
        <v>0</v>
      </c>
      <c r="J22" s="137"/>
      <c r="K22" s="136"/>
      <c r="L22" s="135">
        <v>640</v>
      </c>
      <c r="M22" s="134">
        <f>SUM(J22:L22)</f>
        <v>640</v>
      </c>
      <c r="N22" s="133"/>
      <c r="O22" s="92">
        <f>M22+N22</f>
        <v>640</v>
      </c>
      <c r="P22" s="137"/>
      <c r="Q22" s="136"/>
      <c r="R22" s="135">
        <v>257.5</v>
      </c>
      <c r="S22" s="134">
        <f>SUM(P22:R22)</f>
        <v>257.5</v>
      </c>
      <c r="T22" s="133"/>
      <c r="U22" s="92">
        <f>S22+T22</f>
        <v>257.5</v>
      </c>
      <c r="V22" s="137"/>
      <c r="W22" s="136"/>
      <c r="X22" s="135">
        <v>670</v>
      </c>
      <c r="Y22" s="134">
        <f>SUM(V22:X22)</f>
        <v>670</v>
      </c>
      <c r="Z22" s="133"/>
      <c r="AA22" s="92">
        <f>Y22+Z22</f>
        <v>670</v>
      </c>
      <c r="AB22" s="62">
        <f>(AA22/O22)</f>
        <v>1.046875</v>
      </c>
      <c r="AC22" s="2"/>
      <c r="AD22" s="2"/>
    </row>
    <row r="23" spans="1:30" ht="15.75" thickBot="1" x14ac:dyDescent="0.3">
      <c r="A23" s="4"/>
      <c r="B23" s="132" t="s">
        <v>72</v>
      </c>
      <c r="C23" s="131" t="s">
        <v>71</v>
      </c>
      <c r="D23" s="130"/>
      <c r="E23" s="129"/>
      <c r="F23" s="128"/>
      <c r="G23" s="127">
        <f>SUM(D23:F23)</f>
        <v>0</v>
      </c>
      <c r="H23" s="126"/>
      <c r="I23" s="85">
        <f>G23+H23</f>
        <v>0</v>
      </c>
      <c r="J23" s="130"/>
      <c r="K23" s="129"/>
      <c r="L23" s="128">
        <v>25</v>
      </c>
      <c r="M23" s="127">
        <f>SUM(J23:L23)</f>
        <v>25</v>
      </c>
      <c r="N23" s="126"/>
      <c r="O23" s="85">
        <f>M23+N23</f>
        <v>25</v>
      </c>
      <c r="P23" s="130"/>
      <c r="Q23" s="129"/>
      <c r="R23" s="128">
        <v>10.3</v>
      </c>
      <c r="S23" s="127">
        <f>SUM(P23:R23)</f>
        <v>10.3</v>
      </c>
      <c r="T23" s="126"/>
      <c r="U23" s="85">
        <f>S23+T23</f>
        <v>10.3</v>
      </c>
      <c r="V23" s="130"/>
      <c r="W23" s="129"/>
      <c r="X23" s="128">
        <v>25</v>
      </c>
      <c r="Y23" s="127">
        <f>SUM(V23:X23)</f>
        <v>25</v>
      </c>
      <c r="Z23" s="126"/>
      <c r="AA23" s="85">
        <f>Y23+Z23</f>
        <v>25</v>
      </c>
      <c r="AB23" s="84">
        <f>(AA23/O23)</f>
        <v>1</v>
      </c>
      <c r="AC23" s="2"/>
      <c r="AD23" s="2"/>
    </row>
    <row r="24" spans="1:30" ht="15.75" thickBot="1" x14ac:dyDescent="0.3">
      <c r="A24" s="4"/>
      <c r="B24" s="83" t="s">
        <v>70</v>
      </c>
      <c r="C24" s="125" t="s">
        <v>69</v>
      </c>
      <c r="D24" s="124">
        <f>SUM(D15:D21)</f>
        <v>26584</v>
      </c>
      <c r="E24" s="123">
        <f>SUM(E15:E21)</f>
        <v>1314.3</v>
      </c>
      <c r="F24" s="123">
        <f>SUM(F15:F21)</f>
        <v>2135.8000000000002</v>
      </c>
      <c r="G24" s="122">
        <f>SUM(D24:F24)</f>
        <v>30034.1</v>
      </c>
      <c r="H24" s="121">
        <f>SUM(H15:H21)</f>
        <v>0</v>
      </c>
      <c r="I24" s="121">
        <f>SUM(I15:I21)</f>
        <v>30034.1</v>
      </c>
      <c r="J24" s="124">
        <f>SUM(J15:J21)</f>
        <v>26048</v>
      </c>
      <c r="K24" s="123">
        <f>SUM(K15:K21)</f>
        <v>1235</v>
      </c>
      <c r="L24" s="123">
        <f>SUM(L15:L21)</f>
        <v>3469</v>
      </c>
      <c r="M24" s="122">
        <f>SUM(J24:L24)</f>
        <v>30752</v>
      </c>
      <c r="N24" s="121">
        <f>SUM(N15:N21)</f>
        <v>0</v>
      </c>
      <c r="O24" s="121">
        <f>SUM(O15:O21)</f>
        <v>30752</v>
      </c>
      <c r="P24" s="124">
        <f>SUM(P15:P21)</f>
        <v>12763</v>
      </c>
      <c r="Q24" s="123">
        <f>SUM(Q15:Q21)</f>
        <v>67.099999999999994</v>
      </c>
      <c r="R24" s="123">
        <f>SUM(R15:R21)</f>
        <v>994.5</v>
      </c>
      <c r="S24" s="122">
        <f>SUM(P24:R24)</f>
        <v>13824.6</v>
      </c>
      <c r="T24" s="121">
        <f>SUM(T15:T21)</f>
        <v>0</v>
      </c>
      <c r="U24" s="121">
        <f>SUM(U15:U21)</f>
        <v>13824.6</v>
      </c>
      <c r="V24" s="124">
        <f>SUM(V15:V21)</f>
        <v>28700</v>
      </c>
      <c r="W24" s="123">
        <f>SUM(W15:W21)</f>
        <v>1300</v>
      </c>
      <c r="X24" s="123">
        <f>SUM(X15:X21)</f>
        <v>3199</v>
      </c>
      <c r="Y24" s="122">
        <f>SUM(V24:X24)</f>
        <v>33199</v>
      </c>
      <c r="Z24" s="121">
        <f>SUM(Z15:Z21)</f>
        <v>0</v>
      </c>
      <c r="AA24" s="121">
        <f>SUM(AA15:AA21)</f>
        <v>33199</v>
      </c>
      <c r="AB24" s="120">
        <f>(AA24/O24)</f>
        <v>1.0795720603537982</v>
      </c>
      <c r="AC24" s="2"/>
      <c r="AD24" s="2"/>
    </row>
    <row r="25" spans="1:30" ht="15.75" customHeight="1" thickBot="1" x14ac:dyDescent="0.3">
      <c r="A25" s="4"/>
      <c r="B25" s="119"/>
      <c r="C25" s="118"/>
      <c r="D25" s="117" t="s">
        <v>62</v>
      </c>
      <c r="E25" s="117"/>
      <c r="F25" s="117"/>
      <c r="G25" s="117"/>
      <c r="H25" s="117"/>
      <c r="I25" s="117"/>
      <c r="J25" s="117" t="s">
        <v>62</v>
      </c>
      <c r="K25" s="117"/>
      <c r="L25" s="117"/>
      <c r="M25" s="117"/>
      <c r="N25" s="117"/>
      <c r="O25" s="117"/>
      <c r="P25" s="117" t="s">
        <v>62</v>
      </c>
      <c r="Q25" s="117"/>
      <c r="R25" s="117"/>
      <c r="S25" s="117"/>
      <c r="T25" s="117"/>
      <c r="U25" s="117"/>
      <c r="V25" s="117" t="s">
        <v>62</v>
      </c>
      <c r="W25" s="117"/>
      <c r="X25" s="117"/>
      <c r="Y25" s="117"/>
      <c r="Z25" s="117"/>
      <c r="AA25" s="117"/>
      <c r="AB25" s="107" t="s">
        <v>68</v>
      </c>
      <c r="AC25" s="2"/>
      <c r="AD25" s="2"/>
    </row>
    <row r="26" spans="1:30" ht="15.75" customHeight="1" thickBot="1" x14ac:dyDescent="0.3">
      <c r="A26" s="4"/>
      <c r="B26" s="115" t="s">
        <v>67</v>
      </c>
      <c r="C26" s="114" t="s">
        <v>66</v>
      </c>
      <c r="D26" s="116" t="s">
        <v>65</v>
      </c>
      <c r="E26" s="116"/>
      <c r="F26" s="116"/>
      <c r="G26" s="110" t="s">
        <v>64</v>
      </c>
      <c r="H26" s="109" t="s">
        <v>63</v>
      </c>
      <c r="I26" s="108" t="s">
        <v>62</v>
      </c>
      <c r="J26" s="116" t="s">
        <v>65</v>
      </c>
      <c r="K26" s="116"/>
      <c r="L26" s="116"/>
      <c r="M26" s="110" t="s">
        <v>64</v>
      </c>
      <c r="N26" s="109" t="s">
        <v>63</v>
      </c>
      <c r="O26" s="108" t="s">
        <v>62</v>
      </c>
      <c r="P26" s="116" t="s">
        <v>65</v>
      </c>
      <c r="Q26" s="116"/>
      <c r="R26" s="116"/>
      <c r="S26" s="110" t="s">
        <v>64</v>
      </c>
      <c r="T26" s="109" t="s">
        <v>63</v>
      </c>
      <c r="U26" s="108" t="s">
        <v>62</v>
      </c>
      <c r="V26" s="116" t="s">
        <v>65</v>
      </c>
      <c r="W26" s="116"/>
      <c r="X26" s="116"/>
      <c r="Y26" s="110" t="s">
        <v>64</v>
      </c>
      <c r="Z26" s="109" t="s">
        <v>63</v>
      </c>
      <c r="AA26" s="108" t="s">
        <v>62</v>
      </c>
      <c r="AB26" s="107"/>
      <c r="AC26" s="2"/>
      <c r="AD26" s="2"/>
    </row>
    <row r="27" spans="1:30" ht="15.75" thickBot="1" x14ac:dyDescent="0.3">
      <c r="A27" s="4"/>
      <c r="B27" s="115"/>
      <c r="C27" s="114"/>
      <c r="D27" s="113" t="s">
        <v>61</v>
      </c>
      <c r="E27" s="112" t="s">
        <v>60</v>
      </c>
      <c r="F27" s="111" t="s">
        <v>59</v>
      </c>
      <c r="G27" s="110"/>
      <c r="H27" s="109"/>
      <c r="I27" s="108"/>
      <c r="J27" s="113" t="s">
        <v>61</v>
      </c>
      <c r="K27" s="112" t="s">
        <v>60</v>
      </c>
      <c r="L27" s="111" t="s">
        <v>59</v>
      </c>
      <c r="M27" s="110"/>
      <c r="N27" s="109"/>
      <c r="O27" s="108"/>
      <c r="P27" s="113" t="s">
        <v>61</v>
      </c>
      <c r="Q27" s="112" t="s">
        <v>60</v>
      </c>
      <c r="R27" s="111" t="s">
        <v>59</v>
      </c>
      <c r="S27" s="110"/>
      <c r="T27" s="109"/>
      <c r="U27" s="108"/>
      <c r="V27" s="113" t="s">
        <v>61</v>
      </c>
      <c r="W27" s="112" t="s">
        <v>60</v>
      </c>
      <c r="X27" s="111" t="s">
        <v>59</v>
      </c>
      <c r="Y27" s="110"/>
      <c r="Z27" s="109"/>
      <c r="AA27" s="108"/>
      <c r="AB27" s="107"/>
      <c r="AC27" s="2"/>
      <c r="AD27" s="2"/>
    </row>
    <row r="28" spans="1:30" x14ac:dyDescent="0.25">
      <c r="A28" s="4"/>
      <c r="B28" s="106" t="s">
        <v>58</v>
      </c>
      <c r="C28" s="105" t="s">
        <v>57</v>
      </c>
      <c r="D28" s="103">
        <v>2665.8</v>
      </c>
      <c r="E28" s="103"/>
      <c r="F28" s="103"/>
      <c r="G28" s="102">
        <f>SUM(D28:F28)</f>
        <v>2665.8</v>
      </c>
      <c r="H28" s="102"/>
      <c r="I28" s="101">
        <f>G28+H28</f>
        <v>2665.8</v>
      </c>
      <c r="J28" s="104">
        <v>1500</v>
      </c>
      <c r="K28" s="103">
        <v>0</v>
      </c>
      <c r="L28" s="103"/>
      <c r="M28" s="102">
        <f>SUM(J28:L28)</f>
        <v>1500</v>
      </c>
      <c r="N28" s="102"/>
      <c r="O28" s="101">
        <f>M28+N28</f>
        <v>1500</v>
      </c>
      <c r="P28" s="104">
        <v>789.9</v>
      </c>
      <c r="Q28" s="103"/>
      <c r="R28" s="103"/>
      <c r="S28" s="102">
        <f>SUM(P28:R28)</f>
        <v>789.9</v>
      </c>
      <c r="T28" s="102"/>
      <c r="U28" s="101">
        <f>S28+T28</f>
        <v>789.9</v>
      </c>
      <c r="V28" s="104">
        <v>2000</v>
      </c>
      <c r="W28" s="103"/>
      <c r="X28" s="103"/>
      <c r="Y28" s="102">
        <f>SUM(V28:X28)</f>
        <v>2000</v>
      </c>
      <c r="Z28" s="102"/>
      <c r="AA28" s="101">
        <f>Y28+Z28</f>
        <v>2000</v>
      </c>
      <c r="AB28" s="62">
        <f>(AA28/O28)</f>
        <v>1.3333333333333333</v>
      </c>
      <c r="AC28" s="2"/>
      <c r="AD28" s="2"/>
    </row>
    <row r="29" spans="1:30" x14ac:dyDescent="0.25">
      <c r="A29" s="4"/>
      <c r="B29" s="96" t="s">
        <v>56</v>
      </c>
      <c r="C29" s="95" t="s">
        <v>55</v>
      </c>
      <c r="D29" s="93">
        <v>882.1</v>
      </c>
      <c r="E29" s="93">
        <v>542.5</v>
      </c>
      <c r="F29" s="93">
        <v>1600</v>
      </c>
      <c r="G29" s="89">
        <f>SUM(D29:F29)</f>
        <v>3024.6</v>
      </c>
      <c r="H29" s="89"/>
      <c r="I29" s="92">
        <f>G29+H29</f>
        <v>3024.6</v>
      </c>
      <c r="J29" s="94">
        <v>330</v>
      </c>
      <c r="K29" s="93">
        <v>367</v>
      </c>
      <c r="L29" s="93">
        <v>2400</v>
      </c>
      <c r="M29" s="89">
        <f>SUM(J29:L29)</f>
        <v>3097</v>
      </c>
      <c r="N29" s="89"/>
      <c r="O29" s="92">
        <f>M29+N29</f>
        <v>3097</v>
      </c>
      <c r="P29" s="94">
        <v>458.1</v>
      </c>
      <c r="Q29" s="93">
        <v>18.600000000000001</v>
      </c>
      <c r="R29" s="93">
        <v>493.2</v>
      </c>
      <c r="S29" s="89">
        <f>SUM(P29:R29)</f>
        <v>969.90000000000009</v>
      </c>
      <c r="T29" s="89"/>
      <c r="U29" s="92">
        <f>S29+T29</f>
        <v>969.90000000000009</v>
      </c>
      <c r="V29" s="94">
        <v>330</v>
      </c>
      <c r="W29" s="93">
        <v>427</v>
      </c>
      <c r="X29" s="93">
        <v>2400</v>
      </c>
      <c r="Y29" s="89">
        <f>SUM(V29:X29)</f>
        <v>3157</v>
      </c>
      <c r="Z29" s="89"/>
      <c r="AA29" s="92">
        <f>Y29+Z29</f>
        <v>3157</v>
      </c>
      <c r="AB29" s="62">
        <f>(AA29/O29)</f>
        <v>1.0193735873425895</v>
      </c>
      <c r="AC29" s="2"/>
      <c r="AD29" s="2"/>
    </row>
    <row r="30" spans="1:30" x14ac:dyDescent="0.25">
      <c r="A30" s="4"/>
      <c r="B30" s="96" t="s">
        <v>54</v>
      </c>
      <c r="C30" s="95" t="s">
        <v>53</v>
      </c>
      <c r="D30" s="93">
        <v>1400.4</v>
      </c>
      <c r="E30" s="93"/>
      <c r="F30" s="93" t="s">
        <v>52</v>
      </c>
      <c r="G30" s="89">
        <f>SUM(D30:F30)</f>
        <v>1400.4</v>
      </c>
      <c r="H30" s="89"/>
      <c r="I30" s="92">
        <f>G30+H30</f>
        <v>1400.4</v>
      </c>
      <c r="J30" s="94">
        <v>1890</v>
      </c>
      <c r="K30" s="93">
        <v>5</v>
      </c>
      <c r="L30" s="93"/>
      <c r="M30" s="89">
        <f>SUM(J30:L30)</f>
        <v>1895</v>
      </c>
      <c r="N30" s="89"/>
      <c r="O30" s="92">
        <f>M30+N30</f>
        <v>1895</v>
      </c>
      <c r="P30" s="94">
        <v>923.9</v>
      </c>
      <c r="Q30" s="93"/>
      <c r="R30" s="93"/>
      <c r="S30" s="89">
        <f>SUM(P30:R30)</f>
        <v>923.9</v>
      </c>
      <c r="T30" s="89"/>
      <c r="U30" s="92">
        <f>S30+T30</f>
        <v>923.9</v>
      </c>
      <c r="V30" s="94">
        <f>1833+865</f>
        <v>2698</v>
      </c>
      <c r="W30" s="93">
        <v>5</v>
      </c>
      <c r="X30" s="93"/>
      <c r="Y30" s="89">
        <f>SUM(V30:X30)</f>
        <v>2703</v>
      </c>
      <c r="Z30" s="89"/>
      <c r="AA30" s="92">
        <f>Y30+Z30</f>
        <v>2703</v>
      </c>
      <c r="AB30" s="62">
        <f>(AA30/O30)</f>
        <v>1.4263852242744064</v>
      </c>
      <c r="AC30" s="2"/>
      <c r="AD30" s="2"/>
    </row>
    <row r="31" spans="1:30" x14ac:dyDescent="0.25">
      <c r="A31" s="4"/>
      <c r="B31" s="96" t="s">
        <v>51</v>
      </c>
      <c r="C31" s="95" t="s">
        <v>50</v>
      </c>
      <c r="D31" s="93">
        <v>1402.4</v>
      </c>
      <c r="E31" s="93">
        <v>54.2</v>
      </c>
      <c r="F31" s="93">
        <v>517.6</v>
      </c>
      <c r="G31" s="89">
        <f>SUM(D31:F31)</f>
        <v>1974.2000000000003</v>
      </c>
      <c r="H31" s="89"/>
      <c r="I31" s="92">
        <f>G31+H31</f>
        <v>1974.2000000000003</v>
      </c>
      <c r="J31" s="94">
        <v>2013</v>
      </c>
      <c r="K31" s="93">
        <v>49</v>
      </c>
      <c r="L31" s="93">
        <v>500</v>
      </c>
      <c r="M31" s="89">
        <f>SUM(J31:L31)</f>
        <v>2562</v>
      </c>
      <c r="N31" s="89"/>
      <c r="O31" s="92">
        <f>M31+N31</f>
        <v>2562</v>
      </c>
      <c r="P31" s="94">
        <v>747.1</v>
      </c>
      <c r="Q31" s="93">
        <v>52.8</v>
      </c>
      <c r="R31" s="93">
        <v>150</v>
      </c>
      <c r="S31" s="89">
        <f>SUM(P31:R31)</f>
        <v>949.9</v>
      </c>
      <c r="T31" s="89"/>
      <c r="U31" s="92">
        <f>S31+T31</f>
        <v>949.9</v>
      </c>
      <c r="V31" s="94">
        <v>1985</v>
      </c>
      <c r="W31" s="93">
        <v>56</v>
      </c>
      <c r="X31" s="93">
        <v>500</v>
      </c>
      <c r="Y31" s="89">
        <f>SUM(V31:X31)</f>
        <v>2541</v>
      </c>
      <c r="Z31" s="89"/>
      <c r="AA31" s="92">
        <f>Y31+Z31</f>
        <v>2541</v>
      </c>
      <c r="AB31" s="62">
        <f>(AA31/O31)</f>
        <v>0.99180327868852458</v>
      </c>
      <c r="AC31" s="2"/>
      <c r="AD31" s="2"/>
    </row>
    <row r="32" spans="1:30" x14ac:dyDescent="0.25">
      <c r="A32" s="4"/>
      <c r="B32" s="96" t="s">
        <v>49</v>
      </c>
      <c r="C32" s="95" t="s">
        <v>48</v>
      </c>
      <c r="D32" s="98">
        <v>12970.7</v>
      </c>
      <c r="E32" s="93">
        <v>524.9</v>
      </c>
      <c r="F32" s="93"/>
      <c r="G32" s="89">
        <f>SUM(D32:F32)</f>
        <v>13495.6</v>
      </c>
      <c r="H32" s="89"/>
      <c r="I32" s="92">
        <f>G32+H32</f>
        <v>13495.6</v>
      </c>
      <c r="J32" s="94">
        <v>14005</v>
      </c>
      <c r="K32" s="93">
        <v>598</v>
      </c>
      <c r="L32" s="93">
        <v>300</v>
      </c>
      <c r="M32" s="89">
        <f>SUM(J32:L32)</f>
        <v>14903</v>
      </c>
      <c r="N32" s="89"/>
      <c r="O32" s="92">
        <f>M32+N32</f>
        <v>14903</v>
      </c>
      <c r="P32" s="94">
        <f>SUM(P33:P34)</f>
        <v>6242.0999999999995</v>
      </c>
      <c r="Q32" s="93">
        <v>251.9</v>
      </c>
      <c r="R32" s="93"/>
      <c r="S32" s="89">
        <f>SUM(P32:R32)</f>
        <v>6493.9999999999991</v>
      </c>
      <c r="T32" s="89"/>
      <c r="U32" s="92">
        <f>S32+T32</f>
        <v>6493.9999999999991</v>
      </c>
      <c r="V32" s="97">
        <v>15085</v>
      </c>
      <c r="W32" s="93">
        <v>598</v>
      </c>
      <c r="X32" s="93"/>
      <c r="Y32" s="89">
        <f>SUM(V32:X32)</f>
        <v>15683</v>
      </c>
      <c r="Z32" s="89"/>
      <c r="AA32" s="92">
        <f>Y32+Z32</f>
        <v>15683</v>
      </c>
      <c r="AB32" s="62">
        <f>(AA32/O32)</f>
        <v>1.0523384553445616</v>
      </c>
      <c r="AC32" s="2"/>
      <c r="AD32" s="2"/>
    </row>
    <row r="33" spans="1:30" x14ac:dyDescent="0.25">
      <c r="A33" s="4"/>
      <c r="B33" s="96" t="s">
        <v>47</v>
      </c>
      <c r="C33" s="100" t="s">
        <v>46</v>
      </c>
      <c r="D33" s="98">
        <v>12309.2</v>
      </c>
      <c r="E33" s="93">
        <v>516.29999999999995</v>
      </c>
      <c r="F33" s="93"/>
      <c r="G33" s="89">
        <f>SUM(D33:F33)</f>
        <v>12825.5</v>
      </c>
      <c r="H33" s="89"/>
      <c r="I33" s="92">
        <f>G33+H33</f>
        <v>12825.5</v>
      </c>
      <c r="J33" s="94">
        <v>12850</v>
      </c>
      <c r="K33" s="93">
        <v>548</v>
      </c>
      <c r="L33" s="93">
        <v>300</v>
      </c>
      <c r="M33" s="89">
        <f>SUM(J33:L33)</f>
        <v>13698</v>
      </c>
      <c r="N33" s="89"/>
      <c r="O33" s="92">
        <f>M33+N33</f>
        <v>13698</v>
      </c>
      <c r="P33" s="94">
        <v>6099.2</v>
      </c>
      <c r="Q33" s="93">
        <v>251.9</v>
      </c>
      <c r="R33" s="93"/>
      <c r="S33" s="89">
        <f>SUM(P33:R33)</f>
        <v>6351.0999999999995</v>
      </c>
      <c r="T33" s="89"/>
      <c r="U33" s="92">
        <f>S33+T33</f>
        <v>6351.0999999999995</v>
      </c>
      <c r="V33" s="97">
        <v>13930</v>
      </c>
      <c r="W33" s="93">
        <v>548</v>
      </c>
      <c r="X33" s="93"/>
      <c r="Y33" s="89">
        <f>SUM(V33:X33)</f>
        <v>14478</v>
      </c>
      <c r="Z33" s="89"/>
      <c r="AA33" s="92">
        <f>Y33+Z33</f>
        <v>14478</v>
      </c>
      <c r="AB33" s="62">
        <f>(AA33/O33)</f>
        <v>1.0569426193604905</v>
      </c>
      <c r="AC33" s="2"/>
      <c r="AD33" s="2"/>
    </row>
    <row r="34" spans="1:30" x14ac:dyDescent="0.25">
      <c r="A34" s="4"/>
      <c r="B34" s="96" t="s">
        <v>45</v>
      </c>
      <c r="C34" s="99" t="s">
        <v>44</v>
      </c>
      <c r="D34" s="98">
        <v>661.5</v>
      </c>
      <c r="E34" s="93">
        <v>8.6</v>
      </c>
      <c r="F34" s="93"/>
      <c r="G34" s="89">
        <f>SUM(D34:F34)</f>
        <v>670.1</v>
      </c>
      <c r="H34" s="89"/>
      <c r="I34" s="92">
        <f>G34+H34</f>
        <v>670.1</v>
      </c>
      <c r="J34" s="94">
        <v>1155</v>
      </c>
      <c r="K34" s="93">
        <v>50</v>
      </c>
      <c r="L34" s="93"/>
      <c r="M34" s="89">
        <f>SUM(J34:L34)</f>
        <v>1205</v>
      </c>
      <c r="N34" s="89"/>
      <c r="O34" s="92">
        <f>M34+N34</f>
        <v>1205</v>
      </c>
      <c r="P34" s="94">
        <v>142.9</v>
      </c>
      <c r="Q34" s="93">
        <v>0</v>
      </c>
      <c r="R34" s="93"/>
      <c r="S34" s="89">
        <f>SUM(P34:R34)</f>
        <v>142.9</v>
      </c>
      <c r="T34" s="89"/>
      <c r="U34" s="92">
        <f>S34+T34</f>
        <v>142.9</v>
      </c>
      <c r="V34" s="97">
        <v>1155</v>
      </c>
      <c r="W34" s="93">
        <v>50</v>
      </c>
      <c r="X34" s="93"/>
      <c r="Y34" s="89">
        <f>SUM(V34:X34)</f>
        <v>1205</v>
      </c>
      <c r="Z34" s="89"/>
      <c r="AA34" s="92">
        <f>Y34+Z34</f>
        <v>1205</v>
      </c>
      <c r="AB34" s="62">
        <f>(AA34/O34)</f>
        <v>1</v>
      </c>
      <c r="AC34" s="2"/>
      <c r="AD34" s="2"/>
    </row>
    <row r="35" spans="1:30" x14ac:dyDescent="0.25">
      <c r="A35" s="4"/>
      <c r="B35" s="96" t="s">
        <v>43</v>
      </c>
      <c r="C35" s="95" t="s">
        <v>42</v>
      </c>
      <c r="D35" s="98">
        <v>4181.5</v>
      </c>
      <c r="E35" s="93">
        <v>176.2</v>
      </c>
      <c r="F35" s="93"/>
      <c r="G35" s="89">
        <f>SUM(D35:F35)</f>
        <v>4357.7</v>
      </c>
      <c r="H35" s="89"/>
      <c r="I35" s="92">
        <f>G35+H35</f>
        <v>4357.7</v>
      </c>
      <c r="J35" s="94">
        <v>4482</v>
      </c>
      <c r="K35" s="93">
        <v>189</v>
      </c>
      <c r="L35" s="93"/>
      <c r="M35" s="89">
        <f>SUM(J35:L35)</f>
        <v>4671</v>
      </c>
      <c r="N35" s="89"/>
      <c r="O35" s="92">
        <f>M35+N35</f>
        <v>4671</v>
      </c>
      <c r="P35" s="94">
        <v>2018.9</v>
      </c>
      <c r="Q35" s="93">
        <v>85.8</v>
      </c>
      <c r="R35" s="93"/>
      <c r="S35" s="89">
        <f>SUM(P35:R35)</f>
        <v>2104.7000000000003</v>
      </c>
      <c r="T35" s="89"/>
      <c r="U35" s="92">
        <f>S35+T35</f>
        <v>2104.7000000000003</v>
      </c>
      <c r="V35" s="97">
        <v>4747</v>
      </c>
      <c r="W35" s="93">
        <v>186</v>
      </c>
      <c r="X35" s="93"/>
      <c r="Y35" s="89">
        <f>SUM(V35:X35)</f>
        <v>4933</v>
      </c>
      <c r="Z35" s="89"/>
      <c r="AA35" s="92">
        <f>Y35+Z35</f>
        <v>4933</v>
      </c>
      <c r="AB35" s="62">
        <f>(AA35/O35)</f>
        <v>1.0560907728537787</v>
      </c>
      <c r="AC35" s="2"/>
      <c r="AD35" s="2"/>
    </row>
    <row r="36" spans="1:30" x14ac:dyDescent="0.25">
      <c r="A36" s="4"/>
      <c r="B36" s="96" t="s">
        <v>41</v>
      </c>
      <c r="C36" s="95" t="s">
        <v>40</v>
      </c>
      <c r="D36" s="93">
        <v>27.4</v>
      </c>
      <c r="E36" s="93"/>
      <c r="F36" s="93"/>
      <c r="G36" s="89">
        <f>SUM(D36:F36)</f>
        <v>27.4</v>
      </c>
      <c r="H36" s="89"/>
      <c r="I36" s="92">
        <f>G36+H36</f>
        <v>27.4</v>
      </c>
      <c r="J36" s="94">
        <v>20</v>
      </c>
      <c r="K36" s="93">
        <v>0</v>
      </c>
      <c r="L36" s="93"/>
      <c r="M36" s="89">
        <f>SUM(J36:L36)</f>
        <v>20</v>
      </c>
      <c r="N36" s="89"/>
      <c r="O36" s="92">
        <f>M36+N36</f>
        <v>20</v>
      </c>
      <c r="P36" s="94">
        <v>0</v>
      </c>
      <c r="Q36" s="93"/>
      <c r="R36" s="93"/>
      <c r="S36" s="89">
        <f>SUM(P36:R36)</f>
        <v>0</v>
      </c>
      <c r="T36" s="89"/>
      <c r="U36" s="92">
        <f>S36+T36</f>
        <v>0</v>
      </c>
      <c r="V36" s="94">
        <v>20</v>
      </c>
      <c r="W36" s="93">
        <v>0</v>
      </c>
      <c r="X36" s="93"/>
      <c r="Y36" s="89">
        <f>SUM(V36:X36)</f>
        <v>20</v>
      </c>
      <c r="Z36" s="89"/>
      <c r="AA36" s="92">
        <f>Y36+Z36</f>
        <v>20</v>
      </c>
      <c r="AB36" s="62">
        <f>(AA36/O36)</f>
        <v>1</v>
      </c>
      <c r="AC36" s="2"/>
      <c r="AD36" s="2"/>
    </row>
    <row r="37" spans="1:30" x14ac:dyDescent="0.25">
      <c r="A37" s="4"/>
      <c r="B37" s="96" t="s">
        <v>39</v>
      </c>
      <c r="C37" s="95" t="s">
        <v>38</v>
      </c>
      <c r="D37" s="93">
        <v>525.70000000000005</v>
      </c>
      <c r="E37" s="93"/>
      <c r="F37" s="93"/>
      <c r="G37" s="89">
        <f>SUM(D37:F37)</f>
        <v>525.70000000000005</v>
      </c>
      <c r="H37" s="89"/>
      <c r="I37" s="92">
        <f>G37+H37</f>
        <v>525.70000000000005</v>
      </c>
      <c r="J37" s="94">
        <v>515</v>
      </c>
      <c r="K37" s="93">
        <v>0</v>
      </c>
      <c r="L37" s="93"/>
      <c r="M37" s="89">
        <f>SUM(J37:L37)</f>
        <v>515</v>
      </c>
      <c r="N37" s="89"/>
      <c r="O37" s="92">
        <f>M37+N37</f>
        <v>515</v>
      </c>
      <c r="P37" s="94">
        <v>259.10000000000002</v>
      </c>
      <c r="Q37" s="93"/>
      <c r="R37" s="93"/>
      <c r="S37" s="89">
        <f>SUM(P37:R37)</f>
        <v>259.10000000000002</v>
      </c>
      <c r="T37" s="89"/>
      <c r="U37" s="92">
        <f>S37+T37</f>
        <v>259.10000000000002</v>
      </c>
      <c r="V37" s="94">
        <v>545</v>
      </c>
      <c r="W37" s="93">
        <v>0</v>
      </c>
      <c r="X37" s="93"/>
      <c r="Y37" s="89">
        <f>SUM(V37:X37)</f>
        <v>545</v>
      </c>
      <c r="Z37" s="89"/>
      <c r="AA37" s="92">
        <f>Y37+Z37</f>
        <v>545</v>
      </c>
      <c r="AB37" s="62">
        <f>(AA37/O37)</f>
        <v>1.058252427184466</v>
      </c>
      <c r="AC37" s="2"/>
      <c r="AD37" s="2"/>
    </row>
    <row r="38" spans="1:30" ht="15.75" thickBot="1" x14ac:dyDescent="0.3">
      <c r="A38" s="4"/>
      <c r="B38" s="91" t="s">
        <v>37</v>
      </c>
      <c r="C38" s="90" t="s">
        <v>36</v>
      </c>
      <c r="D38" s="87">
        <v>1028.5</v>
      </c>
      <c r="E38" s="87">
        <v>34.700000000000003</v>
      </c>
      <c r="F38" s="87"/>
      <c r="G38" s="89">
        <f>SUM(D38:F38)</f>
        <v>1063.2</v>
      </c>
      <c r="H38" s="86"/>
      <c r="I38" s="85">
        <f>G38+H38</f>
        <v>1063.2</v>
      </c>
      <c r="J38" s="88">
        <v>1293</v>
      </c>
      <c r="K38" s="87">
        <v>27</v>
      </c>
      <c r="L38" s="87">
        <v>269</v>
      </c>
      <c r="M38" s="86">
        <f>SUM(J38:L38)</f>
        <v>1589</v>
      </c>
      <c r="N38" s="86"/>
      <c r="O38" s="85">
        <f>M38+N38</f>
        <v>1589</v>
      </c>
      <c r="P38" s="88">
        <v>587.79999999999995</v>
      </c>
      <c r="Q38" s="87">
        <v>9.3000000000000007</v>
      </c>
      <c r="R38" s="87"/>
      <c r="S38" s="86">
        <f>SUM(P38:R38)</f>
        <v>597.09999999999991</v>
      </c>
      <c r="T38" s="86"/>
      <c r="U38" s="85">
        <f>S38+T38</f>
        <v>597.09999999999991</v>
      </c>
      <c r="V38" s="88">
        <f>1278+12</f>
        <v>1290</v>
      </c>
      <c r="W38" s="87">
        <v>28</v>
      </c>
      <c r="X38" s="87">
        <v>299</v>
      </c>
      <c r="Y38" s="86">
        <f>SUM(V38:X38)</f>
        <v>1617</v>
      </c>
      <c r="Z38" s="86"/>
      <c r="AA38" s="85">
        <f>Y38+Z38</f>
        <v>1617</v>
      </c>
      <c r="AB38" s="84">
        <f>(AA38/O38)</f>
        <v>1.0176211453744493</v>
      </c>
      <c r="AC38" s="2"/>
      <c r="AD38" s="2"/>
    </row>
    <row r="39" spans="1:30" ht="15.75" thickBot="1" x14ac:dyDescent="0.3">
      <c r="A39" s="4"/>
      <c r="B39" s="83" t="s">
        <v>35</v>
      </c>
      <c r="C39" s="82" t="s">
        <v>34</v>
      </c>
      <c r="D39" s="81">
        <f>SUM(D35:D38)+SUM(D28:D32)</f>
        <v>25084.5</v>
      </c>
      <c r="E39" s="81">
        <f>SUM(E35:E38)+SUM(E28:E32)</f>
        <v>1332.5</v>
      </c>
      <c r="F39" s="81">
        <f>SUM(F35:F38)+SUM(F28:F32)</f>
        <v>2117.6</v>
      </c>
      <c r="G39" s="80">
        <f>SUM(D39:F39)</f>
        <v>28534.6</v>
      </c>
      <c r="H39" s="79">
        <f>SUM(H28:H32)+SUM(H35:H38)</f>
        <v>0</v>
      </c>
      <c r="I39" s="78">
        <f>SUM(I35:I38)+SUM(I28:I32)</f>
        <v>28534.6</v>
      </c>
      <c r="J39" s="81">
        <f>SUM(J35:J38)+SUM(J28:J32)</f>
        <v>26048</v>
      </c>
      <c r="K39" s="81">
        <f>SUM(K35:K38)+SUM(K28:K32)</f>
        <v>1235</v>
      </c>
      <c r="L39" s="81">
        <f>SUM(L35:L38)+SUM(L28:L32)</f>
        <v>3469</v>
      </c>
      <c r="M39" s="80">
        <f>SUM(J39:L39)</f>
        <v>30752</v>
      </c>
      <c r="N39" s="79">
        <f>SUM(N28:N32)+SUM(N35:N38)</f>
        <v>0</v>
      </c>
      <c r="O39" s="78">
        <f>SUM(O35:O38)+SUM(O28:O32)</f>
        <v>30752</v>
      </c>
      <c r="P39" s="81">
        <f>SUM(P35:P38)+SUM(P28:P32)</f>
        <v>12026.899999999998</v>
      </c>
      <c r="Q39" s="81">
        <f>SUM(Q35:Q38)+SUM(Q28:Q32)</f>
        <v>418.4</v>
      </c>
      <c r="R39" s="81">
        <f>SUM(R35:R38)+SUM(R28:R32)</f>
        <v>643.20000000000005</v>
      </c>
      <c r="S39" s="80">
        <f>SUM(P39:R39)</f>
        <v>13088.499999999998</v>
      </c>
      <c r="T39" s="79">
        <f>SUM(T28:T32)+SUM(T35:T38)</f>
        <v>0</v>
      </c>
      <c r="U39" s="78">
        <f>SUM(U35:U38)+SUM(U28:U32)</f>
        <v>13088.499999999998</v>
      </c>
      <c r="V39" s="81">
        <f>SUM(V35:V38)+SUM(V28:V32)</f>
        <v>28700</v>
      </c>
      <c r="W39" s="81">
        <f>SUM(W35:W38)+SUM(W28:W32)</f>
        <v>1300</v>
      </c>
      <c r="X39" s="81">
        <f>SUM(X35:X38)+SUM(X28:X32)</f>
        <v>3199</v>
      </c>
      <c r="Y39" s="80">
        <f>SUM(V39:X39)</f>
        <v>33199</v>
      </c>
      <c r="Z39" s="79">
        <f>SUM(Z28:Z32)+SUM(Z35:Z38)</f>
        <v>0</v>
      </c>
      <c r="AA39" s="78">
        <f>SUM(AA35:AA38)+SUM(AA28:AA32)</f>
        <v>33199</v>
      </c>
      <c r="AB39" s="77">
        <f>(AA39/O39)</f>
        <v>1.0795720603537982</v>
      </c>
      <c r="AC39" s="2"/>
      <c r="AD39" s="2"/>
    </row>
    <row r="40" spans="1:30" ht="19.5" thickBot="1" x14ac:dyDescent="0.35">
      <c r="A40" s="4"/>
      <c r="B40" s="76" t="s">
        <v>33</v>
      </c>
      <c r="C40" s="75" t="s">
        <v>32</v>
      </c>
      <c r="D40" s="74">
        <f>D24-D39</f>
        <v>1499.5</v>
      </c>
      <c r="E40" s="74">
        <f>E24-E39</f>
        <v>-18.200000000000045</v>
      </c>
      <c r="F40" s="74">
        <f>F24-F39</f>
        <v>18.200000000000273</v>
      </c>
      <c r="G40" s="73">
        <f>G24-G39</f>
        <v>1499.5</v>
      </c>
      <c r="H40" s="73">
        <f>H24-H39</f>
        <v>0</v>
      </c>
      <c r="I40" s="72">
        <f>I24-I39</f>
        <v>1499.5</v>
      </c>
      <c r="J40" s="74">
        <f>J24-J39</f>
        <v>0</v>
      </c>
      <c r="K40" s="74">
        <f>K24-K39</f>
        <v>0</v>
      </c>
      <c r="L40" s="74">
        <f>L24-L39</f>
        <v>0</v>
      </c>
      <c r="M40" s="73">
        <f>M24-M39</f>
        <v>0</v>
      </c>
      <c r="N40" s="73">
        <f>N24-N39</f>
        <v>0</v>
      </c>
      <c r="O40" s="72">
        <f>O24-O39</f>
        <v>0</v>
      </c>
      <c r="P40" s="74">
        <f>P24-P39</f>
        <v>736.10000000000218</v>
      </c>
      <c r="Q40" s="74">
        <f>Q24-Q39</f>
        <v>-351.29999999999995</v>
      </c>
      <c r="R40" s="74">
        <f>R24-R39</f>
        <v>351.29999999999995</v>
      </c>
      <c r="S40" s="73">
        <f>S24-S39</f>
        <v>736.10000000000218</v>
      </c>
      <c r="T40" s="73">
        <f>T24-T39</f>
        <v>0</v>
      </c>
      <c r="U40" s="72">
        <f>U24-U39</f>
        <v>736.10000000000218</v>
      </c>
      <c r="V40" s="74">
        <f>V24-V39</f>
        <v>0</v>
      </c>
      <c r="W40" s="74">
        <f>W24-W39</f>
        <v>0</v>
      </c>
      <c r="X40" s="74">
        <f>X24-X39</f>
        <v>0</v>
      </c>
      <c r="Y40" s="73">
        <f>Y24-Y39</f>
        <v>0</v>
      </c>
      <c r="Z40" s="73">
        <f>Z24-Z39</f>
        <v>0</v>
      </c>
      <c r="AA40" s="72">
        <f>AA24-AA39</f>
        <v>0</v>
      </c>
      <c r="AB40" s="71" t="e">
        <f>(AA40/O40)</f>
        <v>#DIV/0!</v>
      </c>
      <c r="AC40" s="2"/>
      <c r="AD40" s="2"/>
    </row>
    <row r="41" spans="1:30" ht="15.75" thickBot="1" x14ac:dyDescent="0.3">
      <c r="A41" s="4"/>
      <c r="B41" s="70" t="s">
        <v>31</v>
      </c>
      <c r="C41" s="69" t="s">
        <v>30</v>
      </c>
      <c r="D41" s="67"/>
      <c r="E41" s="66"/>
      <c r="F41" s="66"/>
      <c r="G41" s="65"/>
      <c r="H41" s="68"/>
      <c r="I41" s="63">
        <f>I40-D16</f>
        <v>-25038.5</v>
      </c>
      <c r="J41" s="67"/>
      <c r="K41" s="66"/>
      <c r="L41" s="66"/>
      <c r="M41" s="65"/>
      <c r="N41" s="64"/>
      <c r="O41" s="63">
        <f>O40-J16</f>
        <v>-26000</v>
      </c>
      <c r="P41" s="67"/>
      <c r="Q41" s="66"/>
      <c r="R41" s="66"/>
      <c r="S41" s="65"/>
      <c r="T41" s="64"/>
      <c r="U41" s="63">
        <f>U40-P16</f>
        <v>-12003.899999999998</v>
      </c>
      <c r="V41" s="67"/>
      <c r="W41" s="66"/>
      <c r="X41" s="66"/>
      <c r="Y41" s="65"/>
      <c r="Z41" s="64"/>
      <c r="AA41" s="63">
        <f>AA40-V16</f>
        <v>-28654</v>
      </c>
      <c r="AB41" s="62">
        <f>(AA41/O41)</f>
        <v>1.1020769230769232</v>
      </c>
      <c r="AC41" s="2"/>
      <c r="AD41" s="2"/>
    </row>
    <row r="42" spans="1:30" s="21" customFormat="1" ht="8.25" customHeight="1" thickBot="1" x14ac:dyDescent="0.3">
      <c r="A42" s="13"/>
      <c r="B42" s="61"/>
      <c r="C42" s="36"/>
      <c r="D42" s="60"/>
      <c r="E42" s="35"/>
      <c r="F42" s="35"/>
      <c r="G42" s="13"/>
      <c r="H42" s="35"/>
      <c r="I42" s="35"/>
      <c r="J42" s="60"/>
      <c r="K42" s="35"/>
      <c r="L42" s="35"/>
      <c r="M42" s="13"/>
      <c r="N42" s="35"/>
      <c r="O42" s="35"/>
      <c r="P42" s="35"/>
      <c r="Q42" s="35"/>
      <c r="R42" s="35"/>
      <c r="S42" s="35"/>
      <c r="T42" s="35"/>
      <c r="U42" s="35"/>
      <c r="V42" s="49"/>
      <c r="W42" s="49"/>
      <c r="X42" s="49"/>
      <c r="Y42" s="49"/>
      <c r="Z42" s="49"/>
      <c r="AA42" s="49"/>
      <c r="AB42" s="49"/>
      <c r="AC42" s="49"/>
      <c r="AD42" s="49"/>
    </row>
    <row r="43" spans="1:30" s="21" customFormat="1" ht="15.75" customHeight="1" thickBot="1" x14ac:dyDescent="0.3">
      <c r="A43" s="13"/>
      <c r="B43" s="53"/>
      <c r="C43" s="48" t="s">
        <v>29</v>
      </c>
      <c r="D43" s="59" t="s">
        <v>28</v>
      </c>
      <c r="E43" s="58" t="s">
        <v>27</v>
      </c>
      <c r="F43" s="57" t="s">
        <v>26</v>
      </c>
      <c r="G43" s="35"/>
      <c r="H43" s="35"/>
      <c r="I43" s="34"/>
      <c r="J43" s="59" t="s">
        <v>28</v>
      </c>
      <c r="K43" s="58" t="s">
        <v>27</v>
      </c>
      <c r="L43" s="57" t="s">
        <v>26</v>
      </c>
      <c r="M43" s="35"/>
      <c r="N43" s="35"/>
      <c r="O43" s="35"/>
      <c r="P43" s="59" t="s">
        <v>28</v>
      </c>
      <c r="Q43" s="58" t="s">
        <v>27</v>
      </c>
      <c r="R43" s="57" t="s">
        <v>26</v>
      </c>
      <c r="S43" s="49"/>
      <c r="T43" s="49"/>
      <c r="U43" s="49"/>
      <c r="V43" s="59" t="s">
        <v>28</v>
      </c>
      <c r="W43" s="58" t="s">
        <v>27</v>
      </c>
      <c r="X43" s="57" t="s">
        <v>26</v>
      </c>
      <c r="Y43" s="49"/>
      <c r="Z43" s="49"/>
      <c r="AA43" s="49"/>
      <c r="AB43" s="49"/>
      <c r="AC43" s="49"/>
      <c r="AD43" s="49"/>
    </row>
    <row r="44" spans="1:30" ht="15.75" thickBot="1" x14ac:dyDescent="0.3">
      <c r="A44" s="4"/>
      <c r="B44" s="53"/>
      <c r="C44" s="48"/>
      <c r="D44" s="46"/>
      <c r="E44" s="56"/>
      <c r="F44" s="55">
        <v>0</v>
      </c>
      <c r="G44" s="35"/>
      <c r="H44" s="35"/>
      <c r="I44" s="34"/>
      <c r="J44" s="46"/>
      <c r="K44" s="56"/>
      <c r="L44" s="55">
        <v>0</v>
      </c>
      <c r="M44" s="54"/>
      <c r="N44" s="54"/>
      <c r="O44" s="54"/>
      <c r="P44" s="46"/>
      <c r="Q44" s="56"/>
      <c r="R44" s="55">
        <v>0</v>
      </c>
      <c r="S44" s="2"/>
      <c r="T44" s="2"/>
      <c r="U44" s="2"/>
      <c r="V44" s="46"/>
      <c r="W44" s="56"/>
      <c r="X44" s="55">
        <v>0</v>
      </c>
      <c r="Y44" s="2"/>
      <c r="Z44" s="2"/>
      <c r="AA44" s="2"/>
      <c r="AB44" s="2"/>
      <c r="AC44" s="2"/>
      <c r="AD44" s="2"/>
    </row>
    <row r="45" spans="1:30" s="21" customFormat="1" ht="8.25" customHeight="1" thickBot="1" x14ac:dyDescent="0.3">
      <c r="A45" s="13"/>
      <c r="B45" s="53"/>
      <c r="C45" s="36"/>
      <c r="D45" s="54"/>
      <c r="E45" s="35"/>
      <c r="F45" s="35"/>
      <c r="G45" s="35"/>
      <c r="H45" s="35"/>
      <c r="I45" s="34"/>
      <c r="J45" s="35"/>
      <c r="K45" s="35"/>
      <c r="L45" s="35"/>
      <c r="M45" s="35"/>
      <c r="N45" s="35"/>
      <c r="O45" s="34"/>
      <c r="P45" s="34"/>
      <c r="Q45" s="34"/>
      <c r="R45" s="34"/>
      <c r="S45" s="34"/>
      <c r="T45" s="34"/>
      <c r="U45" s="34"/>
      <c r="V45" s="49"/>
      <c r="W45" s="49"/>
      <c r="X45" s="49"/>
      <c r="Y45" s="49"/>
      <c r="Z45" s="49"/>
      <c r="AA45" s="49"/>
      <c r="AB45" s="49"/>
      <c r="AC45" s="49"/>
      <c r="AD45" s="49"/>
    </row>
    <row r="46" spans="1:30" s="21" customFormat="1" ht="37.5" customHeight="1" thickBot="1" x14ac:dyDescent="0.3">
      <c r="A46" s="13"/>
      <c r="B46" s="53"/>
      <c r="C46" s="48" t="s">
        <v>25</v>
      </c>
      <c r="D46" s="51" t="s">
        <v>24</v>
      </c>
      <c r="E46" s="50" t="s">
        <v>23</v>
      </c>
      <c r="F46" s="35"/>
      <c r="G46" s="35"/>
      <c r="H46" s="35"/>
      <c r="I46" s="34"/>
      <c r="J46" s="51" t="s">
        <v>24</v>
      </c>
      <c r="K46" s="50" t="s">
        <v>23</v>
      </c>
      <c r="L46" s="52"/>
      <c r="M46" s="52"/>
      <c r="N46" s="49"/>
      <c r="O46" s="49"/>
      <c r="P46" s="51" t="s">
        <v>24</v>
      </c>
      <c r="Q46" s="50" t="s">
        <v>23</v>
      </c>
      <c r="R46" s="49"/>
      <c r="S46" s="49"/>
      <c r="T46" s="49"/>
      <c r="U46" s="49"/>
      <c r="V46" s="51" t="s">
        <v>24</v>
      </c>
      <c r="W46" s="50" t="s">
        <v>23</v>
      </c>
      <c r="X46" s="49"/>
      <c r="Y46" s="49"/>
      <c r="Z46" s="49"/>
      <c r="AA46" s="49"/>
      <c r="AB46" s="49"/>
      <c r="AC46" s="49"/>
      <c r="AD46" s="49"/>
    </row>
    <row r="47" spans="1:30" ht="15.75" thickBot="1" x14ac:dyDescent="0.3">
      <c r="A47" s="4"/>
      <c r="B47" s="37"/>
      <c r="C47" s="48"/>
      <c r="D47" s="46">
        <v>0</v>
      </c>
      <c r="E47" s="45">
        <v>0</v>
      </c>
      <c r="F47" s="35"/>
      <c r="G47" s="35"/>
      <c r="H47" s="35"/>
      <c r="I47" s="34"/>
      <c r="J47" s="46">
        <v>0</v>
      </c>
      <c r="K47" s="45">
        <v>0</v>
      </c>
      <c r="L47" s="47"/>
      <c r="M47" s="47"/>
      <c r="N47" s="2"/>
      <c r="O47" s="2"/>
      <c r="P47" s="46">
        <v>0</v>
      </c>
      <c r="Q47" s="45">
        <v>0</v>
      </c>
      <c r="R47" s="2"/>
      <c r="S47" s="2"/>
      <c r="T47" s="2"/>
      <c r="U47" s="2"/>
      <c r="V47" s="46">
        <v>0</v>
      </c>
      <c r="W47" s="45">
        <v>0</v>
      </c>
      <c r="X47" s="2"/>
      <c r="Y47" s="2"/>
      <c r="Z47" s="2"/>
      <c r="AA47" s="2"/>
      <c r="AB47" s="2"/>
      <c r="AC47" s="2"/>
      <c r="AD47" s="2"/>
    </row>
    <row r="48" spans="1:30" x14ac:dyDescent="0.25">
      <c r="A48" s="4"/>
      <c r="B48" s="37"/>
      <c r="C48" s="36"/>
      <c r="D48" s="35"/>
      <c r="E48" s="35"/>
      <c r="F48" s="35"/>
      <c r="G48" s="35"/>
      <c r="H48" s="35"/>
      <c r="I48" s="34"/>
      <c r="J48" s="35"/>
      <c r="K48" s="35"/>
      <c r="L48" s="35"/>
      <c r="M48" s="35"/>
      <c r="N48" s="35"/>
      <c r="O48" s="34"/>
      <c r="P48" s="34"/>
      <c r="Q48" s="34"/>
      <c r="R48" s="34"/>
      <c r="S48" s="34"/>
      <c r="T48" s="34"/>
      <c r="U48" s="34"/>
      <c r="V48" s="2"/>
      <c r="W48" s="2"/>
      <c r="X48" s="2"/>
      <c r="Y48" s="2"/>
      <c r="Z48" s="2"/>
      <c r="AA48" s="2"/>
      <c r="AB48" s="2"/>
      <c r="AC48" s="2"/>
      <c r="AD48" s="2"/>
    </row>
    <row r="49" spans="1:30" x14ac:dyDescent="0.25">
      <c r="A49" s="4"/>
      <c r="B49" s="37"/>
      <c r="C49" s="41" t="s">
        <v>22</v>
      </c>
      <c r="D49" s="40" t="s">
        <v>20</v>
      </c>
      <c r="E49" s="40" t="s">
        <v>18</v>
      </c>
      <c r="F49" s="40" t="s">
        <v>17</v>
      </c>
      <c r="G49" s="40" t="s">
        <v>21</v>
      </c>
      <c r="H49" s="35"/>
      <c r="I49" s="2"/>
      <c r="J49" s="40" t="s">
        <v>20</v>
      </c>
      <c r="K49" s="40" t="s">
        <v>18</v>
      </c>
      <c r="L49" s="40" t="s">
        <v>17</v>
      </c>
      <c r="M49" s="40" t="s">
        <v>16</v>
      </c>
      <c r="N49" s="2"/>
      <c r="O49" s="2"/>
      <c r="P49" s="40" t="s">
        <v>20</v>
      </c>
      <c r="Q49" s="40" t="s">
        <v>18</v>
      </c>
      <c r="R49" s="40" t="s">
        <v>17</v>
      </c>
      <c r="S49" s="40" t="s">
        <v>16</v>
      </c>
      <c r="T49" s="2"/>
      <c r="U49" s="2"/>
      <c r="V49" s="40" t="s">
        <v>19</v>
      </c>
      <c r="W49" s="40" t="s">
        <v>18</v>
      </c>
      <c r="X49" s="40" t="s">
        <v>17</v>
      </c>
      <c r="Y49" s="40" t="s">
        <v>16</v>
      </c>
      <c r="Z49" s="2"/>
      <c r="AA49" s="2"/>
      <c r="AB49" s="2"/>
      <c r="AC49" s="2"/>
      <c r="AD49" s="2"/>
    </row>
    <row r="50" spans="1:30" x14ac:dyDescent="0.25">
      <c r="A50" s="4"/>
      <c r="B50" s="37"/>
      <c r="C50" s="39" t="s">
        <v>15</v>
      </c>
      <c r="D50" s="43">
        <v>296.3</v>
      </c>
      <c r="E50" s="43">
        <v>524.29999999999995</v>
      </c>
      <c r="F50" s="43">
        <v>404.4</v>
      </c>
      <c r="G50" s="42">
        <f>D50+E50-F50</f>
        <v>416.19999999999993</v>
      </c>
      <c r="H50" s="35"/>
      <c r="I50" s="2"/>
      <c r="J50" s="43">
        <v>416.2</v>
      </c>
      <c r="K50" s="43">
        <v>200</v>
      </c>
      <c r="L50" s="43">
        <v>0</v>
      </c>
      <c r="M50" s="42">
        <f>J50+K50-L50</f>
        <v>616.20000000000005</v>
      </c>
      <c r="N50" s="2"/>
      <c r="O50" s="2"/>
      <c r="P50" s="43">
        <v>416.2</v>
      </c>
      <c r="Q50" s="43">
        <v>1299.4000000000001</v>
      </c>
      <c r="R50" s="43">
        <v>0</v>
      </c>
      <c r="S50" s="42">
        <f>P50+Q50-R50</f>
        <v>1715.6000000000001</v>
      </c>
      <c r="T50" s="2"/>
      <c r="U50" s="2"/>
      <c r="V50" s="42">
        <f>S50+T50-U50</f>
        <v>1715.6000000000001</v>
      </c>
      <c r="W50" s="43">
        <v>150</v>
      </c>
      <c r="X50" s="43">
        <v>0</v>
      </c>
      <c r="Y50" s="42">
        <f>V50+W50-X50</f>
        <v>1865.6000000000001</v>
      </c>
      <c r="Z50" s="2"/>
      <c r="AA50" s="2"/>
      <c r="AB50" s="2"/>
      <c r="AC50" s="2"/>
      <c r="AD50" s="2"/>
    </row>
    <row r="51" spans="1:30" x14ac:dyDescent="0.25">
      <c r="A51" s="4"/>
      <c r="B51" s="37"/>
      <c r="C51" s="39" t="s">
        <v>14</v>
      </c>
      <c r="D51" s="43">
        <v>1619.8</v>
      </c>
      <c r="E51" s="43">
        <v>884.2</v>
      </c>
      <c r="F51" s="43">
        <v>506.1</v>
      </c>
      <c r="G51" s="42">
        <f>D51+E51-F51</f>
        <v>1997.9</v>
      </c>
      <c r="H51" s="35"/>
      <c r="I51" s="2"/>
      <c r="J51" s="43">
        <v>1756</v>
      </c>
      <c r="K51" s="43">
        <v>515</v>
      </c>
      <c r="L51" s="43">
        <v>920</v>
      </c>
      <c r="M51" s="42">
        <f>J51+K51-L51</f>
        <v>1351</v>
      </c>
      <c r="N51" s="2"/>
      <c r="O51" s="2"/>
      <c r="P51" s="43">
        <v>1997.9</v>
      </c>
      <c r="Q51" s="43">
        <v>236.1</v>
      </c>
      <c r="R51" s="43">
        <v>349.3</v>
      </c>
      <c r="S51" s="42">
        <f>P51+Q51-R51</f>
        <v>1884.7</v>
      </c>
      <c r="T51" s="2"/>
      <c r="U51" s="2"/>
      <c r="V51" s="42">
        <f>S51+T51-U51</f>
        <v>1884.7</v>
      </c>
      <c r="W51" s="43">
        <v>545</v>
      </c>
      <c r="X51" s="43">
        <v>1590</v>
      </c>
      <c r="Y51" s="42">
        <f>V51+W51-X51</f>
        <v>839.69999999999982</v>
      </c>
      <c r="Z51" s="2"/>
      <c r="AA51" s="2"/>
      <c r="AB51" s="2"/>
      <c r="AC51" s="2"/>
      <c r="AD51" s="2"/>
    </row>
    <row r="52" spans="1:30" x14ac:dyDescent="0.25">
      <c r="A52" s="4"/>
      <c r="B52" s="37"/>
      <c r="C52" s="39" t="s">
        <v>13</v>
      </c>
      <c r="D52" s="43">
        <v>196.7</v>
      </c>
      <c r="E52" s="43">
        <v>115.9</v>
      </c>
      <c r="F52" s="43">
        <v>0</v>
      </c>
      <c r="G52" s="42">
        <f>D52+E52-F52</f>
        <v>312.60000000000002</v>
      </c>
      <c r="H52" s="35"/>
      <c r="I52" s="2"/>
      <c r="J52" s="43">
        <v>312.60000000000002</v>
      </c>
      <c r="K52" s="43">
        <v>100</v>
      </c>
      <c r="L52" s="43">
        <v>300</v>
      </c>
      <c r="M52" s="42">
        <f>J52+K52-L52</f>
        <v>112.60000000000002</v>
      </c>
      <c r="N52" s="2"/>
      <c r="O52" s="2"/>
      <c r="P52" s="43">
        <v>312.60000000000002</v>
      </c>
      <c r="Q52" s="43">
        <v>200</v>
      </c>
      <c r="R52" s="43">
        <v>300</v>
      </c>
      <c r="S52" s="42">
        <f>P52+Q52-R52</f>
        <v>212.60000000000002</v>
      </c>
      <c r="T52" s="2"/>
      <c r="U52" s="2"/>
      <c r="V52" s="42">
        <f>S52+T52-U52</f>
        <v>212.60000000000002</v>
      </c>
      <c r="W52" s="43">
        <v>100</v>
      </c>
      <c r="X52" s="43">
        <v>0</v>
      </c>
      <c r="Y52" s="42">
        <f>V52+W52-X52</f>
        <v>312.60000000000002</v>
      </c>
      <c r="Z52" s="2"/>
      <c r="AA52" s="2"/>
      <c r="AB52" s="2"/>
      <c r="AC52" s="2"/>
      <c r="AD52" s="2"/>
    </row>
    <row r="53" spans="1:30" x14ac:dyDescent="0.25">
      <c r="A53" s="4"/>
      <c r="B53" s="37"/>
      <c r="C53" s="44" t="s">
        <v>12</v>
      </c>
      <c r="D53" s="43">
        <v>304.39999999999998</v>
      </c>
      <c r="E53" s="43">
        <v>256.5</v>
      </c>
      <c r="F53" s="43">
        <v>190.7</v>
      </c>
      <c r="G53" s="42">
        <f>D53+E53-F53</f>
        <v>370.2</v>
      </c>
      <c r="H53" s="35"/>
      <c r="I53" s="2"/>
      <c r="J53" s="43">
        <v>100</v>
      </c>
      <c r="K53" s="43">
        <v>278</v>
      </c>
      <c r="L53" s="43">
        <v>278</v>
      </c>
      <c r="M53" s="42">
        <f>J53+K53-L53</f>
        <v>100</v>
      </c>
      <c r="N53" s="2"/>
      <c r="O53" s="2"/>
      <c r="P53" s="43">
        <v>370.2</v>
      </c>
      <c r="Q53" s="43">
        <v>127</v>
      </c>
      <c r="R53" s="43">
        <v>350</v>
      </c>
      <c r="S53" s="42">
        <f>P53+Q53-R53</f>
        <v>147.19999999999999</v>
      </c>
      <c r="T53" s="2"/>
      <c r="U53" s="2"/>
      <c r="V53" s="42">
        <f>S53+T53-U53</f>
        <v>147.19999999999999</v>
      </c>
      <c r="W53" s="43">
        <v>263</v>
      </c>
      <c r="X53" s="43">
        <v>263</v>
      </c>
      <c r="Y53" s="42">
        <f>V53+W53-X53</f>
        <v>147.19999999999999</v>
      </c>
      <c r="Z53" s="2"/>
      <c r="AA53" s="2"/>
      <c r="AB53" s="2"/>
      <c r="AC53" s="2"/>
      <c r="AD53" s="2"/>
    </row>
    <row r="54" spans="1:30" ht="10.5" customHeight="1" x14ac:dyDescent="0.25">
      <c r="A54" s="4"/>
      <c r="B54" s="37"/>
      <c r="C54" s="36"/>
      <c r="D54" s="35"/>
      <c r="E54" s="35"/>
      <c r="F54" s="35"/>
      <c r="G54" s="35"/>
      <c r="H54" s="35"/>
      <c r="I54" s="2"/>
      <c r="J54" s="2"/>
      <c r="K54" s="2"/>
      <c r="L54" s="2"/>
      <c r="M54" s="2"/>
      <c r="N54" s="2"/>
      <c r="O54" s="2"/>
      <c r="P54" s="2"/>
      <c r="Q54" s="2"/>
      <c r="R54" s="2"/>
      <c r="S54" s="2"/>
      <c r="T54" s="2"/>
      <c r="U54" s="2"/>
      <c r="V54" s="2"/>
      <c r="W54" s="2"/>
      <c r="X54" s="2"/>
      <c r="Y54" s="2"/>
      <c r="Z54" s="2"/>
      <c r="AA54" s="2"/>
      <c r="AB54" s="2"/>
      <c r="AC54" s="2"/>
      <c r="AD54" s="2"/>
    </row>
    <row r="55" spans="1:30" x14ac:dyDescent="0.25">
      <c r="A55" s="4"/>
      <c r="B55" s="37"/>
      <c r="C55" s="41" t="s">
        <v>11</v>
      </c>
      <c r="D55" s="40" t="s">
        <v>10</v>
      </c>
      <c r="E55" s="40" t="s">
        <v>9</v>
      </c>
      <c r="F55" s="35"/>
      <c r="G55" s="35"/>
      <c r="H55" s="35"/>
      <c r="I55" s="34"/>
      <c r="J55" s="40" t="s">
        <v>7</v>
      </c>
      <c r="K55" s="35"/>
      <c r="L55" s="35"/>
      <c r="M55" s="35"/>
      <c r="N55" s="35"/>
      <c r="O55" s="34"/>
      <c r="P55" s="40" t="s">
        <v>8</v>
      </c>
      <c r="Q55" s="34"/>
      <c r="R55" s="34"/>
      <c r="S55" s="34"/>
      <c r="T55" s="34"/>
      <c r="U55" s="34"/>
      <c r="V55" s="40" t="s">
        <v>7</v>
      </c>
      <c r="W55" s="2"/>
      <c r="X55" s="2"/>
      <c r="Y55" s="2"/>
      <c r="Z55" s="2"/>
      <c r="AA55" s="2"/>
      <c r="AB55" s="2"/>
      <c r="AC55" s="2"/>
      <c r="AD55" s="2"/>
    </row>
    <row r="56" spans="1:30" x14ac:dyDescent="0.25">
      <c r="A56" s="4"/>
      <c r="B56" s="37"/>
      <c r="C56" s="39"/>
      <c r="D56" s="38">
        <v>35.25</v>
      </c>
      <c r="E56" s="38">
        <v>33.75</v>
      </c>
      <c r="F56" s="35"/>
      <c r="G56" s="35"/>
      <c r="H56" s="35"/>
      <c r="I56" s="34"/>
      <c r="J56" s="38">
        <v>34.799999999999997</v>
      </c>
      <c r="K56" s="35"/>
      <c r="L56" s="35"/>
      <c r="M56" s="35"/>
      <c r="N56" s="35"/>
      <c r="O56" s="34"/>
      <c r="P56" s="38">
        <v>33.9</v>
      </c>
      <c r="Q56" s="34"/>
      <c r="R56" s="34"/>
      <c r="S56" s="34"/>
      <c r="T56" s="34"/>
      <c r="U56" s="34"/>
      <c r="V56" s="38">
        <v>34.130000000000003</v>
      </c>
      <c r="W56" s="2"/>
      <c r="X56" s="2"/>
      <c r="Y56" s="2"/>
      <c r="Z56" s="2"/>
      <c r="AA56" s="2"/>
      <c r="AB56" s="2"/>
      <c r="AC56" s="2"/>
      <c r="AD56" s="2"/>
    </row>
    <row r="57" spans="1:30" x14ac:dyDescent="0.25">
      <c r="A57" s="4"/>
      <c r="B57" s="37"/>
      <c r="C57" s="36"/>
      <c r="D57" s="35"/>
      <c r="E57" s="35"/>
      <c r="F57" s="35"/>
      <c r="G57" s="35"/>
      <c r="H57" s="35"/>
      <c r="I57" s="34"/>
      <c r="J57" s="35"/>
      <c r="K57" s="35"/>
      <c r="L57" s="35"/>
      <c r="M57" s="35"/>
      <c r="N57" s="35"/>
      <c r="O57" s="34"/>
      <c r="P57" s="34"/>
      <c r="Q57" s="34"/>
      <c r="R57" s="34"/>
      <c r="S57" s="34"/>
      <c r="T57" s="34"/>
      <c r="U57" s="34"/>
      <c r="V57" s="2"/>
      <c r="W57" s="2"/>
      <c r="X57" s="2"/>
      <c r="Y57" s="2"/>
      <c r="Z57" s="2"/>
      <c r="AA57" s="2"/>
      <c r="AB57" s="2"/>
      <c r="AC57" s="2"/>
      <c r="AD57" s="2"/>
    </row>
    <row r="58" spans="1:30" x14ac:dyDescent="0.25">
      <c r="A58" s="4"/>
      <c r="B58" s="33" t="s">
        <v>6</v>
      </c>
      <c r="C58" s="32"/>
      <c r="D58" s="31"/>
      <c r="E58" s="31"/>
      <c r="F58" s="31"/>
      <c r="G58" s="31"/>
      <c r="H58" s="31"/>
      <c r="I58" s="31"/>
      <c r="J58" s="31"/>
      <c r="K58" s="31"/>
      <c r="L58" s="31"/>
      <c r="M58" s="31"/>
      <c r="N58" s="31"/>
      <c r="O58" s="31"/>
      <c r="P58" s="31"/>
      <c r="Q58" s="31"/>
      <c r="R58" s="31"/>
      <c r="S58" s="31"/>
      <c r="T58" s="31"/>
      <c r="U58" s="31"/>
      <c r="V58" s="30"/>
      <c r="W58" s="30"/>
      <c r="X58" s="30"/>
      <c r="Y58" s="30"/>
      <c r="Z58" s="30"/>
      <c r="AA58" s="30"/>
      <c r="AB58" s="29"/>
      <c r="AC58" s="2"/>
      <c r="AD58" s="2"/>
    </row>
    <row r="59" spans="1:30" x14ac:dyDescent="0.25">
      <c r="A59" s="4"/>
      <c r="B59" s="28"/>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0"/>
      <c r="AC59" s="2"/>
      <c r="AD59" s="2"/>
    </row>
    <row r="60" spans="1:30" x14ac:dyDescent="0.25">
      <c r="A60" s="4"/>
      <c r="B60" s="26"/>
      <c r="C60" s="26"/>
      <c r="D60" s="26"/>
      <c r="E60" s="26"/>
      <c r="F60" s="26"/>
      <c r="G60" s="26"/>
      <c r="H60" s="26"/>
      <c r="I60" s="26"/>
      <c r="J60" s="26"/>
      <c r="K60" s="26"/>
      <c r="L60" s="26"/>
      <c r="M60" s="26"/>
      <c r="N60" s="26"/>
      <c r="O60" s="26"/>
      <c r="P60" s="26"/>
      <c r="Q60" s="26"/>
      <c r="R60" s="26"/>
      <c r="S60" s="26"/>
      <c r="T60" s="26"/>
      <c r="U60" s="26"/>
      <c r="V60" s="21"/>
      <c r="W60" s="21"/>
      <c r="X60" s="21"/>
      <c r="Y60" s="21"/>
      <c r="Z60" s="21"/>
      <c r="AA60" s="21"/>
      <c r="AB60" s="20"/>
      <c r="AC60" s="2"/>
      <c r="AD60" s="2"/>
    </row>
    <row r="61" spans="1:30" x14ac:dyDescent="0.25">
      <c r="A61" s="4"/>
      <c r="B61" s="26"/>
      <c r="C61" s="26"/>
      <c r="D61" s="26"/>
      <c r="E61" s="26"/>
      <c r="F61" s="26"/>
      <c r="G61" s="26"/>
      <c r="H61" s="26"/>
      <c r="I61" s="26"/>
      <c r="J61" s="26"/>
      <c r="K61" s="26"/>
      <c r="L61" s="26"/>
      <c r="M61" s="26"/>
      <c r="N61" s="26"/>
      <c r="O61" s="26"/>
      <c r="P61" s="26"/>
      <c r="Q61" s="26"/>
      <c r="R61" s="26"/>
      <c r="S61" s="26"/>
      <c r="T61" s="26"/>
      <c r="U61" s="26"/>
      <c r="V61" s="21"/>
      <c r="W61" s="21"/>
      <c r="X61" s="21"/>
      <c r="Y61" s="21"/>
      <c r="Z61" s="21"/>
      <c r="AA61" s="21"/>
      <c r="AB61" s="20"/>
      <c r="AC61" s="2"/>
      <c r="AD61" s="2"/>
    </row>
    <row r="62" spans="1:30" x14ac:dyDescent="0.25">
      <c r="A62" s="4"/>
      <c r="B62" s="26"/>
      <c r="C62" s="26"/>
      <c r="D62" s="26"/>
      <c r="E62" s="26"/>
      <c r="F62" s="26"/>
      <c r="G62" s="26"/>
      <c r="H62" s="26"/>
      <c r="I62" s="26"/>
      <c r="J62" s="26"/>
      <c r="K62" s="26"/>
      <c r="L62" s="26"/>
      <c r="M62" s="26"/>
      <c r="N62" s="26"/>
      <c r="O62" s="26"/>
      <c r="P62" s="26"/>
      <c r="Q62" s="26"/>
      <c r="R62" s="26"/>
      <c r="S62" s="26"/>
      <c r="T62" s="26"/>
      <c r="U62" s="26"/>
      <c r="V62" s="21"/>
      <c r="W62" s="21"/>
      <c r="X62" s="21"/>
      <c r="Y62" s="21"/>
      <c r="Z62" s="21"/>
      <c r="AA62" s="21"/>
      <c r="AB62" s="20"/>
      <c r="AC62" s="2"/>
      <c r="AD62" s="2"/>
    </row>
    <row r="63" spans="1:30" x14ac:dyDescent="0.25">
      <c r="A63" s="4"/>
      <c r="B63" s="27"/>
      <c r="C63" s="22"/>
      <c r="D63" s="22"/>
      <c r="E63" s="22"/>
      <c r="F63" s="22"/>
      <c r="G63" s="22"/>
      <c r="H63" s="22"/>
      <c r="I63" s="22"/>
      <c r="J63" s="22"/>
      <c r="K63" s="22"/>
      <c r="L63" s="22"/>
      <c r="M63" s="22"/>
      <c r="N63" s="22"/>
      <c r="O63" s="22"/>
      <c r="P63" s="22"/>
      <c r="Q63" s="22"/>
      <c r="R63" s="22"/>
      <c r="S63" s="22"/>
      <c r="T63" s="22"/>
      <c r="U63" s="22"/>
      <c r="V63" s="21"/>
      <c r="W63" s="21"/>
      <c r="X63" s="21"/>
      <c r="Y63" s="21"/>
      <c r="Z63" s="21"/>
      <c r="AA63" s="21"/>
      <c r="AB63" s="20"/>
      <c r="AC63" s="2"/>
      <c r="AD63" s="2"/>
    </row>
    <row r="64" spans="1:30" x14ac:dyDescent="0.25">
      <c r="A64" s="4"/>
      <c r="B64" s="27"/>
      <c r="C64" s="22"/>
      <c r="D64" s="22"/>
      <c r="E64" s="22"/>
      <c r="F64" s="22"/>
      <c r="G64" s="22"/>
      <c r="H64" s="22"/>
      <c r="I64" s="22"/>
      <c r="J64" s="22"/>
      <c r="K64" s="22"/>
      <c r="L64" s="22"/>
      <c r="M64" s="22"/>
      <c r="N64" s="22"/>
      <c r="O64" s="22"/>
      <c r="P64" s="22"/>
      <c r="Q64" s="22"/>
      <c r="R64" s="22"/>
      <c r="S64" s="22"/>
      <c r="T64" s="22"/>
      <c r="U64" s="22"/>
      <c r="V64" s="21"/>
      <c r="W64" s="21"/>
      <c r="X64" s="21"/>
      <c r="Y64" s="21"/>
      <c r="Z64" s="21"/>
      <c r="AA64" s="21"/>
      <c r="AB64" s="20"/>
      <c r="AC64" s="2"/>
      <c r="AD64" s="2"/>
    </row>
    <row r="65" spans="1:30" x14ac:dyDescent="0.25">
      <c r="A65" s="4"/>
      <c r="B65" s="27"/>
      <c r="C65" s="22"/>
      <c r="D65" s="22"/>
      <c r="E65" s="22"/>
      <c r="F65" s="22"/>
      <c r="G65" s="22"/>
      <c r="H65" s="22"/>
      <c r="I65" s="22"/>
      <c r="J65" s="22"/>
      <c r="K65" s="22"/>
      <c r="L65" s="22"/>
      <c r="M65" s="22"/>
      <c r="N65" s="22"/>
      <c r="O65" s="22"/>
      <c r="P65" s="22"/>
      <c r="Q65" s="22"/>
      <c r="R65" s="22"/>
      <c r="S65" s="22"/>
      <c r="T65" s="22"/>
      <c r="U65" s="22"/>
      <c r="V65" s="21"/>
      <c r="W65" s="21"/>
      <c r="X65" s="21"/>
      <c r="Y65" s="21"/>
      <c r="Z65" s="21"/>
      <c r="AA65" s="21"/>
      <c r="AB65" s="20"/>
      <c r="AC65" s="2"/>
      <c r="AD65" s="2"/>
    </row>
    <row r="66" spans="1:30" x14ac:dyDescent="0.25">
      <c r="A66" s="4"/>
      <c r="B66" s="27"/>
      <c r="C66" s="22"/>
      <c r="D66" s="22"/>
      <c r="E66" s="22"/>
      <c r="F66" s="22"/>
      <c r="G66" s="22"/>
      <c r="H66" s="22"/>
      <c r="I66" s="22"/>
      <c r="J66" s="22"/>
      <c r="K66" s="22"/>
      <c r="L66" s="22"/>
      <c r="M66" s="22"/>
      <c r="N66" s="22"/>
      <c r="O66" s="22"/>
      <c r="P66" s="22"/>
      <c r="Q66" s="22"/>
      <c r="R66" s="22"/>
      <c r="S66" s="22"/>
      <c r="T66" s="22"/>
      <c r="U66" s="22"/>
      <c r="V66" s="21"/>
      <c r="W66" s="21"/>
      <c r="X66" s="21"/>
      <c r="Y66" s="21"/>
      <c r="Z66" s="21"/>
      <c r="AA66" s="21"/>
      <c r="AB66" s="20"/>
      <c r="AC66" s="2"/>
      <c r="AD66" s="2"/>
    </row>
    <row r="67" spans="1:30" x14ac:dyDescent="0.25">
      <c r="A67" s="4"/>
      <c r="B67" s="27"/>
      <c r="C67" s="22"/>
      <c r="D67" s="22"/>
      <c r="E67" s="22"/>
      <c r="F67" s="22"/>
      <c r="G67" s="22"/>
      <c r="H67" s="22"/>
      <c r="I67" s="22"/>
      <c r="J67" s="22"/>
      <c r="K67" s="22"/>
      <c r="L67" s="22"/>
      <c r="M67" s="22"/>
      <c r="N67" s="22"/>
      <c r="O67" s="22"/>
      <c r="P67" s="22"/>
      <c r="Q67" s="22"/>
      <c r="R67" s="22"/>
      <c r="S67" s="22"/>
      <c r="T67" s="22"/>
      <c r="U67" s="22"/>
      <c r="V67" s="21"/>
      <c r="W67" s="21"/>
      <c r="X67" s="21"/>
      <c r="Y67" s="21"/>
      <c r="Z67" s="21"/>
      <c r="AA67" s="21"/>
      <c r="AB67" s="20"/>
      <c r="AC67" s="2"/>
      <c r="AD67" s="2"/>
    </row>
    <row r="68" spans="1:30" x14ac:dyDescent="0.25">
      <c r="A68" s="4"/>
      <c r="B68" s="27"/>
      <c r="C68" s="22"/>
      <c r="D68" s="22"/>
      <c r="E68" s="22"/>
      <c r="F68" s="22"/>
      <c r="G68" s="22"/>
      <c r="H68" s="22"/>
      <c r="I68" s="22"/>
      <c r="J68" s="22"/>
      <c r="K68" s="22"/>
      <c r="L68" s="22"/>
      <c r="M68" s="22"/>
      <c r="N68" s="22"/>
      <c r="O68" s="22"/>
      <c r="P68" s="22"/>
      <c r="Q68" s="22"/>
      <c r="R68" s="22"/>
      <c r="S68" s="22"/>
      <c r="T68" s="22"/>
      <c r="U68" s="22"/>
      <c r="V68" s="21"/>
      <c r="W68" s="21"/>
      <c r="X68" s="21"/>
      <c r="Y68" s="21"/>
      <c r="Z68" s="21"/>
      <c r="AA68" s="21"/>
      <c r="AB68" s="20"/>
      <c r="AC68" s="2"/>
      <c r="AD68" s="2"/>
    </row>
    <row r="69" spans="1:30" x14ac:dyDescent="0.25">
      <c r="A69" s="4"/>
      <c r="B69" s="27"/>
      <c r="C69" s="22"/>
      <c r="D69" s="22"/>
      <c r="E69" s="22"/>
      <c r="F69" s="22"/>
      <c r="G69" s="22"/>
      <c r="H69" s="22"/>
      <c r="I69" s="22"/>
      <c r="J69" s="22"/>
      <c r="K69" s="22"/>
      <c r="L69" s="22"/>
      <c r="M69" s="22"/>
      <c r="N69" s="22"/>
      <c r="O69" s="22"/>
      <c r="P69" s="22"/>
      <c r="Q69" s="22"/>
      <c r="R69" s="22"/>
      <c r="S69" s="22"/>
      <c r="T69" s="22"/>
      <c r="U69" s="22"/>
      <c r="V69" s="21"/>
      <c r="W69" s="21"/>
      <c r="X69" s="21"/>
      <c r="Y69" s="21"/>
      <c r="Z69" s="21"/>
      <c r="AA69" s="21"/>
      <c r="AB69" s="20"/>
      <c r="AC69" s="2"/>
      <c r="AD69" s="2"/>
    </row>
    <row r="70" spans="1:30" x14ac:dyDescent="0.25">
      <c r="A70" s="4"/>
      <c r="B70" s="27"/>
      <c r="C70" s="22"/>
      <c r="D70" s="22"/>
      <c r="E70" s="22"/>
      <c r="F70" s="22"/>
      <c r="G70" s="22"/>
      <c r="H70" s="22"/>
      <c r="I70" s="22"/>
      <c r="J70" s="22"/>
      <c r="K70" s="22"/>
      <c r="L70" s="22"/>
      <c r="M70" s="22"/>
      <c r="N70" s="22"/>
      <c r="O70" s="22"/>
      <c r="P70" s="22"/>
      <c r="Q70" s="22"/>
      <c r="R70" s="22"/>
      <c r="S70" s="22"/>
      <c r="T70" s="22"/>
      <c r="U70" s="22"/>
      <c r="V70" s="21"/>
      <c r="W70" s="21"/>
      <c r="X70" s="21"/>
      <c r="Y70" s="21"/>
      <c r="Z70" s="21"/>
      <c r="AA70" s="21"/>
      <c r="AB70" s="20"/>
      <c r="AC70" s="2"/>
      <c r="AD70" s="2"/>
    </row>
    <row r="71" spans="1:30" x14ac:dyDescent="0.25">
      <c r="A71" s="4"/>
      <c r="B71" s="27"/>
      <c r="C71" s="22"/>
      <c r="D71" s="22"/>
      <c r="E71" s="22"/>
      <c r="F71" s="22"/>
      <c r="G71" s="22"/>
      <c r="H71" s="22"/>
      <c r="I71" s="22"/>
      <c r="J71" s="22"/>
      <c r="K71" s="22"/>
      <c r="L71" s="22"/>
      <c r="M71" s="22"/>
      <c r="N71" s="22"/>
      <c r="O71" s="22"/>
      <c r="P71" s="22"/>
      <c r="Q71" s="22"/>
      <c r="R71" s="22"/>
      <c r="S71" s="22"/>
      <c r="T71" s="22"/>
      <c r="U71" s="22"/>
      <c r="V71" s="21"/>
      <c r="W71" s="21"/>
      <c r="X71" s="21"/>
      <c r="Y71" s="21"/>
      <c r="Z71" s="21"/>
      <c r="AA71" s="21"/>
      <c r="AB71" s="20"/>
      <c r="AC71" s="2"/>
      <c r="AD71" s="2"/>
    </row>
    <row r="72" spans="1:30" x14ac:dyDescent="0.25">
      <c r="A72" s="4"/>
      <c r="B72" s="27"/>
      <c r="C72" s="22"/>
      <c r="D72" s="22"/>
      <c r="E72" s="22"/>
      <c r="F72" s="22"/>
      <c r="G72" s="22"/>
      <c r="H72" s="22"/>
      <c r="I72" s="22"/>
      <c r="J72" s="22"/>
      <c r="K72" s="22"/>
      <c r="L72" s="22"/>
      <c r="M72" s="22"/>
      <c r="N72" s="22"/>
      <c r="O72" s="22"/>
      <c r="P72" s="22"/>
      <c r="Q72" s="22"/>
      <c r="R72" s="22"/>
      <c r="S72" s="22"/>
      <c r="T72" s="22"/>
      <c r="U72" s="22"/>
      <c r="V72" s="21"/>
      <c r="W72" s="21"/>
      <c r="X72" s="21"/>
      <c r="Y72" s="21"/>
      <c r="Z72" s="21"/>
      <c r="AA72" s="21"/>
      <c r="AB72" s="20"/>
      <c r="AC72" s="2"/>
      <c r="AD72" s="2"/>
    </row>
    <row r="73" spans="1:30" x14ac:dyDescent="0.25">
      <c r="A73" s="4"/>
      <c r="B73" s="27"/>
      <c r="C73" s="22"/>
      <c r="D73" s="22"/>
      <c r="E73" s="22"/>
      <c r="F73" s="22"/>
      <c r="G73" s="22"/>
      <c r="H73" s="22"/>
      <c r="I73" s="22"/>
      <c r="J73" s="22"/>
      <c r="K73" s="22"/>
      <c r="L73" s="22"/>
      <c r="M73" s="22"/>
      <c r="N73" s="22"/>
      <c r="O73" s="22"/>
      <c r="P73" s="22"/>
      <c r="Q73" s="22"/>
      <c r="R73" s="22"/>
      <c r="S73" s="22"/>
      <c r="T73" s="22"/>
      <c r="U73" s="22"/>
      <c r="V73" s="21"/>
      <c r="W73" s="21"/>
      <c r="X73" s="21"/>
      <c r="Y73" s="21"/>
      <c r="Z73" s="21"/>
      <c r="AA73" s="21"/>
      <c r="AB73" s="20"/>
      <c r="AC73" s="2"/>
      <c r="AD73" s="2"/>
    </row>
    <row r="74" spans="1:30" x14ac:dyDescent="0.25">
      <c r="A74" s="4"/>
      <c r="B74" s="27"/>
      <c r="C74" s="22"/>
      <c r="D74" s="22"/>
      <c r="E74" s="22"/>
      <c r="F74" s="22"/>
      <c r="G74" s="22"/>
      <c r="H74" s="22"/>
      <c r="I74" s="22"/>
      <c r="J74" s="22"/>
      <c r="K74" s="22"/>
      <c r="L74" s="22"/>
      <c r="M74" s="22"/>
      <c r="N74" s="22"/>
      <c r="O74" s="22"/>
      <c r="P74" s="22"/>
      <c r="Q74" s="22"/>
      <c r="R74" s="22"/>
      <c r="S74" s="22"/>
      <c r="T74" s="22"/>
      <c r="U74" s="22"/>
      <c r="V74" s="21"/>
      <c r="W74" s="21"/>
      <c r="X74" s="21"/>
      <c r="Y74" s="21"/>
      <c r="Z74" s="21"/>
      <c r="AA74" s="21"/>
      <c r="AB74" s="20"/>
      <c r="AC74" s="2"/>
      <c r="AD74" s="2"/>
    </row>
    <row r="75" spans="1:30" x14ac:dyDescent="0.25">
      <c r="A75" s="4"/>
      <c r="B75" s="27"/>
      <c r="C75" s="22"/>
      <c r="D75" s="22"/>
      <c r="E75" s="22"/>
      <c r="F75" s="22"/>
      <c r="G75" s="22"/>
      <c r="H75" s="22"/>
      <c r="I75" s="22"/>
      <c r="J75" s="22"/>
      <c r="K75" s="22"/>
      <c r="L75" s="22"/>
      <c r="M75" s="22"/>
      <c r="N75" s="22"/>
      <c r="O75" s="22"/>
      <c r="P75" s="22"/>
      <c r="Q75" s="22"/>
      <c r="R75" s="22"/>
      <c r="S75" s="22"/>
      <c r="T75" s="22"/>
      <c r="U75" s="22"/>
      <c r="V75" s="21"/>
      <c r="W75" s="21"/>
      <c r="X75" s="21"/>
      <c r="Y75" s="21"/>
      <c r="Z75" s="21"/>
      <c r="AA75" s="21"/>
      <c r="AB75" s="20"/>
      <c r="AC75" s="2"/>
      <c r="AD75" s="2"/>
    </row>
    <row r="76" spans="1:30" x14ac:dyDescent="0.25">
      <c r="A76" s="4"/>
      <c r="B76" s="27"/>
      <c r="C76" s="22"/>
      <c r="D76" s="22"/>
      <c r="E76" s="22"/>
      <c r="F76" s="22"/>
      <c r="G76" s="22"/>
      <c r="H76" s="22"/>
      <c r="I76" s="22"/>
      <c r="J76" s="22"/>
      <c r="K76" s="22"/>
      <c r="L76" s="22"/>
      <c r="M76" s="22"/>
      <c r="N76" s="22"/>
      <c r="O76" s="22"/>
      <c r="P76" s="22"/>
      <c r="Q76" s="22"/>
      <c r="R76" s="22"/>
      <c r="S76" s="22"/>
      <c r="T76" s="22"/>
      <c r="U76" s="22"/>
      <c r="V76" s="21"/>
      <c r="W76" s="21"/>
      <c r="X76" s="21"/>
      <c r="Y76" s="21"/>
      <c r="Z76" s="21"/>
      <c r="AA76" s="21"/>
      <c r="AB76" s="20"/>
      <c r="AC76" s="2"/>
      <c r="AD76" s="2"/>
    </row>
    <row r="77" spans="1:30" x14ac:dyDescent="0.25">
      <c r="A77" s="4"/>
      <c r="B77" s="27"/>
      <c r="C77" s="22"/>
      <c r="D77" s="22"/>
      <c r="E77" s="22"/>
      <c r="F77" s="22"/>
      <c r="G77" s="22"/>
      <c r="H77" s="22"/>
      <c r="I77" s="22"/>
      <c r="J77" s="22"/>
      <c r="K77" s="22"/>
      <c r="L77" s="22"/>
      <c r="M77" s="22"/>
      <c r="N77" s="22"/>
      <c r="O77" s="22"/>
      <c r="P77" s="22"/>
      <c r="Q77" s="22"/>
      <c r="R77" s="22"/>
      <c r="S77" s="22"/>
      <c r="T77" s="22"/>
      <c r="U77" s="22"/>
      <c r="V77" s="21"/>
      <c r="W77" s="21"/>
      <c r="X77" s="21"/>
      <c r="Y77" s="21"/>
      <c r="Z77" s="21"/>
      <c r="AA77" s="21"/>
      <c r="AB77" s="20"/>
      <c r="AC77" s="2"/>
      <c r="AD77" s="2"/>
    </row>
    <row r="78" spans="1:30" x14ac:dyDescent="0.25">
      <c r="A78" s="4"/>
      <c r="B78" s="27"/>
      <c r="C78" s="22"/>
      <c r="D78" s="22"/>
      <c r="E78" s="22"/>
      <c r="F78" s="22"/>
      <c r="G78" s="22"/>
      <c r="H78" s="22"/>
      <c r="I78" s="22"/>
      <c r="J78" s="22"/>
      <c r="K78" s="22"/>
      <c r="L78" s="22"/>
      <c r="M78" s="22"/>
      <c r="N78" s="22"/>
      <c r="O78" s="22"/>
      <c r="P78" s="22"/>
      <c r="Q78" s="22"/>
      <c r="R78" s="22"/>
      <c r="S78" s="22"/>
      <c r="T78" s="22"/>
      <c r="U78" s="22"/>
      <c r="V78" s="21"/>
      <c r="W78" s="21"/>
      <c r="X78" s="21"/>
      <c r="Y78" s="21"/>
      <c r="Z78" s="21"/>
      <c r="AA78" s="21"/>
      <c r="AB78" s="20"/>
      <c r="AC78" s="2"/>
      <c r="AD78" s="2"/>
    </row>
    <row r="79" spans="1:30" x14ac:dyDescent="0.25">
      <c r="A79" s="4"/>
      <c r="B79" s="27"/>
      <c r="C79" s="22"/>
      <c r="D79" s="22"/>
      <c r="E79" s="22"/>
      <c r="F79" s="22"/>
      <c r="G79" s="22"/>
      <c r="H79" s="22"/>
      <c r="I79" s="22"/>
      <c r="J79" s="22"/>
      <c r="K79" s="22"/>
      <c r="L79" s="22"/>
      <c r="M79" s="22"/>
      <c r="N79" s="22"/>
      <c r="O79" s="22"/>
      <c r="P79" s="22"/>
      <c r="Q79" s="22"/>
      <c r="R79" s="22"/>
      <c r="S79" s="22"/>
      <c r="T79" s="22"/>
      <c r="U79" s="22"/>
      <c r="V79" s="21"/>
      <c r="W79" s="21"/>
      <c r="X79" s="21"/>
      <c r="Y79" s="21"/>
      <c r="Z79" s="21"/>
      <c r="AA79" s="21"/>
      <c r="AB79" s="20"/>
      <c r="AC79" s="2"/>
      <c r="AD79" s="2"/>
    </row>
    <row r="80" spans="1:30" x14ac:dyDescent="0.25">
      <c r="A80" s="4"/>
      <c r="B80" s="27"/>
      <c r="C80" s="22"/>
      <c r="D80" s="22"/>
      <c r="E80" s="22"/>
      <c r="F80" s="22"/>
      <c r="G80" s="22"/>
      <c r="H80" s="22"/>
      <c r="I80" s="22"/>
      <c r="J80" s="22"/>
      <c r="K80" s="22"/>
      <c r="L80" s="22"/>
      <c r="M80" s="22"/>
      <c r="N80" s="22"/>
      <c r="O80" s="22"/>
      <c r="P80" s="22"/>
      <c r="Q80" s="22"/>
      <c r="R80" s="22"/>
      <c r="S80" s="22"/>
      <c r="T80" s="22"/>
      <c r="U80" s="22"/>
      <c r="V80" s="21"/>
      <c r="W80" s="21"/>
      <c r="X80" s="21"/>
      <c r="Y80" s="21"/>
      <c r="Z80" s="21"/>
      <c r="AA80" s="21"/>
      <c r="AB80" s="20"/>
      <c r="AC80" s="2"/>
      <c r="AD80" s="2"/>
    </row>
    <row r="81" spans="1:30" x14ac:dyDescent="0.25">
      <c r="A81" s="4"/>
      <c r="B81" s="26"/>
      <c r="C81" s="26"/>
      <c r="D81" s="26"/>
      <c r="E81" s="26"/>
      <c r="F81" s="26"/>
      <c r="G81" s="26"/>
      <c r="H81" s="26"/>
      <c r="I81" s="26"/>
      <c r="J81" s="26"/>
      <c r="K81" s="26"/>
      <c r="L81" s="26"/>
      <c r="M81" s="26"/>
      <c r="N81" s="26"/>
      <c r="O81" s="26"/>
      <c r="P81" s="26"/>
      <c r="Q81" s="26"/>
      <c r="R81" s="26"/>
      <c r="S81" s="26"/>
      <c r="T81" s="26"/>
      <c r="U81" s="26"/>
      <c r="V81" s="21"/>
      <c r="W81" s="21"/>
      <c r="X81" s="21"/>
      <c r="Y81" s="21"/>
      <c r="Z81" s="21"/>
      <c r="AA81" s="21"/>
      <c r="AB81" s="20"/>
      <c r="AC81" s="2"/>
      <c r="AD81" s="2"/>
    </row>
    <row r="82" spans="1:30" x14ac:dyDescent="0.25">
      <c r="A82" s="4"/>
      <c r="B82" s="25"/>
      <c r="C82" s="21"/>
      <c r="D82" s="21"/>
      <c r="E82" s="21"/>
      <c r="F82" s="22"/>
      <c r="G82" s="22"/>
      <c r="H82" s="22"/>
      <c r="I82" s="22"/>
      <c r="J82" s="22"/>
      <c r="K82" s="22"/>
      <c r="L82" s="22"/>
      <c r="M82" s="22"/>
      <c r="N82" s="22"/>
      <c r="O82" s="22"/>
      <c r="P82" s="22"/>
      <c r="Q82" s="22"/>
      <c r="R82" s="22"/>
      <c r="S82" s="22"/>
      <c r="T82" s="22"/>
      <c r="U82" s="22"/>
      <c r="V82" s="21"/>
      <c r="W82" s="21"/>
      <c r="X82" s="21"/>
      <c r="Y82" s="21"/>
      <c r="Z82" s="21"/>
      <c r="AA82" s="21"/>
      <c r="AB82" s="20"/>
      <c r="AC82" s="2"/>
      <c r="AD82" s="2"/>
    </row>
    <row r="83" spans="1:30" x14ac:dyDescent="0.25">
      <c r="A83" s="4"/>
      <c r="B83" s="25"/>
      <c r="C83" s="23"/>
      <c r="D83" s="23"/>
      <c r="E83" s="23"/>
      <c r="F83" s="22"/>
      <c r="G83" s="22"/>
      <c r="H83" s="22"/>
      <c r="I83" s="22"/>
      <c r="J83" s="22"/>
      <c r="K83" s="22"/>
      <c r="L83" s="22"/>
      <c r="M83" s="22"/>
      <c r="N83" s="22"/>
      <c r="O83" s="22"/>
      <c r="P83" s="22"/>
      <c r="Q83" s="22"/>
      <c r="R83" s="22"/>
      <c r="S83" s="22"/>
      <c r="T83" s="22"/>
      <c r="U83" s="22"/>
      <c r="V83" s="21"/>
      <c r="W83" s="21"/>
      <c r="X83" s="21"/>
      <c r="Y83" s="21"/>
      <c r="Z83" s="21"/>
      <c r="AA83" s="21"/>
      <c r="AB83" s="20"/>
      <c r="AC83" s="2"/>
      <c r="AD83" s="2"/>
    </row>
    <row r="84" spans="1:30" x14ac:dyDescent="0.25">
      <c r="A84" s="4"/>
      <c r="B84" s="25"/>
      <c r="C84" s="24"/>
      <c r="D84" s="23"/>
      <c r="E84" s="23"/>
      <c r="F84" s="22"/>
      <c r="G84" s="22"/>
      <c r="H84" s="22"/>
      <c r="I84" s="22"/>
      <c r="J84" s="22"/>
      <c r="K84" s="22"/>
      <c r="L84" s="22"/>
      <c r="M84" s="22"/>
      <c r="N84" s="22"/>
      <c r="O84" s="22"/>
      <c r="P84" s="22"/>
      <c r="Q84" s="22"/>
      <c r="R84" s="22"/>
      <c r="S84" s="22"/>
      <c r="T84" s="22"/>
      <c r="U84" s="22"/>
      <c r="V84" s="21"/>
      <c r="W84" s="21"/>
      <c r="X84" s="21"/>
      <c r="Y84" s="21"/>
      <c r="Z84" s="21"/>
      <c r="AA84" s="21"/>
      <c r="AB84" s="20"/>
      <c r="AC84" s="2"/>
      <c r="AD84" s="2"/>
    </row>
    <row r="85" spans="1:30" x14ac:dyDescent="0.25">
      <c r="A85" s="4"/>
      <c r="B85" s="25"/>
      <c r="C85" s="24"/>
      <c r="D85" s="23"/>
      <c r="E85" s="23"/>
      <c r="F85" s="22"/>
      <c r="G85" s="22"/>
      <c r="H85" s="22"/>
      <c r="I85" s="22"/>
      <c r="J85" s="22"/>
      <c r="K85" s="22"/>
      <c r="L85" s="22"/>
      <c r="M85" s="22"/>
      <c r="N85" s="22"/>
      <c r="O85" s="22"/>
      <c r="P85" s="22"/>
      <c r="Q85" s="22"/>
      <c r="R85" s="22"/>
      <c r="S85" s="22"/>
      <c r="T85" s="22"/>
      <c r="U85" s="22"/>
      <c r="V85" s="21"/>
      <c r="W85" s="21"/>
      <c r="X85" s="21"/>
      <c r="Y85" s="21"/>
      <c r="Z85" s="21"/>
      <c r="AA85" s="21"/>
      <c r="AB85" s="20"/>
      <c r="AC85" s="2"/>
      <c r="AD85" s="2"/>
    </row>
    <row r="86" spans="1:30" x14ac:dyDescent="0.25">
      <c r="A86" s="4"/>
      <c r="B86" s="19"/>
      <c r="C86" s="18"/>
      <c r="D86" s="17"/>
      <c r="E86" s="17"/>
      <c r="F86" s="16"/>
      <c r="G86" s="16"/>
      <c r="H86" s="16"/>
      <c r="I86" s="16"/>
      <c r="J86" s="16"/>
      <c r="K86" s="16"/>
      <c r="L86" s="16"/>
      <c r="M86" s="16"/>
      <c r="N86" s="16"/>
      <c r="O86" s="16"/>
      <c r="P86" s="16"/>
      <c r="Q86" s="16"/>
      <c r="R86" s="16"/>
      <c r="S86" s="16"/>
      <c r="T86" s="16"/>
      <c r="U86" s="16"/>
      <c r="V86" s="15"/>
      <c r="W86" s="15"/>
      <c r="X86" s="15"/>
      <c r="Y86" s="15"/>
      <c r="Z86" s="15"/>
      <c r="AA86" s="15"/>
      <c r="AB86" s="14"/>
      <c r="AC86" s="2"/>
      <c r="AD86" s="2"/>
    </row>
    <row r="87" spans="1:30" x14ac:dyDescent="0.25">
      <c r="A87" s="13"/>
      <c r="B87" s="11"/>
      <c r="C87" s="12"/>
      <c r="D87" s="11"/>
      <c r="E87" s="11"/>
      <c r="F87" s="10"/>
      <c r="G87" s="10"/>
      <c r="H87" s="10"/>
      <c r="I87" s="10"/>
      <c r="J87" s="10"/>
      <c r="K87" s="10"/>
      <c r="L87" s="10"/>
      <c r="M87" s="10"/>
      <c r="N87" s="10"/>
      <c r="O87" s="10"/>
      <c r="P87" s="10"/>
      <c r="Q87" s="10"/>
      <c r="R87" s="10"/>
      <c r="S87" s="10"/>
      <c r="T87" s="10"/>
      <c r="U87" s="10"/>
      <c r="V87" s="2"/>
      <c r="W87" s="2"/>
      <c r="X87" s="2"/>
      <c r="Y87" s="2"/>
      <c r="Z87" s="2"/>
      <c r="AA87" s="2"/>
      <c r="AB87" s="2"/>
      <c r="AC87" s="2"/>
      <c r="AD87" s="2"/>
    </row>
    <row r="88" spans="1:30" x14ac:dyDescent="0.25">
      <c r="A88" s="13"/>
      <c r="B88" s="11"/>
      <c r="C88" s="12"/>
      <c r="D88" s="11"/>
      <c r="E88" s="11"/>
      <c r="F88" s="10"/>
      <c r="G88" s="10"/>
      <c r="H88" s="10"/>
      <c r="I88" s="10"/>
      <c r="J88" s="10"/>
      <c r="K88" s="10"/>
      <c r="L88" s="10"/>
      <c r="M88" s="10"/>
      <c r="N88" s="10"/>
      <c r="O88" s="10"/>
      <c r="P88" s="10"/>
      <c r="Q88" s="10"/>
      <c r="R88" s="10"/>
      <c r="S88" s="10"/>
      <c r="T88" s="10"/>
      <c r="U88" s="10"/>
      <c r="V88" s="2"/>
      <c r="W88" s="2"/>
      <c r="X88" s="2"/>
      <c r="Y88" s="2"/>
      <c r="Z88" s="2"/>
      <c r="AA88" s="2"/>
      <c r="AB88" s="2"/>
      <c r="AC88" s="2"/>
      <c r="AD88" s="2"/>
    </row>
    <row r="89" spans="1:30" x14ac:dyDescent="0.25">
      <c r="A89" s="4"/>
      <c r="B89" s="3"/>
      <c r="C89" s="3"/>
      <c r="D89" s="3"/>
      <c r="E89" s="3"/>
      <c r="F89" s="3"/>
      <c r="G89" s="3"/>
      <c r="H89" s="3"/>
      <c r="I89" s="3"/>
      <c r="J89" s="3"/>
      <c r="K89" s="3"/>
      <c r="L89" s="3"/>
      <c r="M89" s="3"/>
      <c r="N89" s="3"/>
      <c r="O89" s="3"/>
      <c r="P89" s="3"/>
      <c r="Q89" s="3"/>
      <c r="R89" s="3"/>
      <c r="S89" s="3"/>
      <c r="T89" s="3"/>
      <c r="U89" s="3"/>
      <c r="V89" s="2"/>
      <c r="W89" s="2"/>
      <c r="X89" s="2"/>
      <c r="Y89" s="2"/>
      <c r="Z89" s="2"/>
      <c r="AA89" s="2"/>
      <c r="AB89" s="2"/>
      <c r="AC89" s="2"/>
      <c r="AD89" s="2"/>
    </row>
    <row r="90" spans="1:30" x14ac:dyDescent="0.25">
      <c r="A90" s="4"/>
      <c r="B90" s="3" t="s">
        <v>5</v>
      </c>
      <c r="C90" s="9">
        <v>44501</v>
      </c>
      <c r="D90" s="3" t="s">
        <v>4</v>
      </c>
      <c r="E90" s="8" t="s">
        <v>3</v>
      </c>
      <c r="F90" s="8"/>
      <c r="G90" s="8"/>
      <c r="H90" s="3"/>
      <c r="I90" s="3" t="s">
        <v>2</v>
      </c>
      <c r="J90" s="7" t="s">
        <v>1</v>
      </c>
      <c r="K90" s="7"/>
      <c r="L90" s="7"/>
      <c r="M90" s="7"/>
      <c r="N90" s="3"/>
      <c r="O90" s="3"/>
      <c r="P90" s="3"/>
      <c r="Q90" s="3"/>
      <c r="R90" s="3"/>
      <c r="S90" s="3"/>
      <c r="T90" s="3"/>
      <c r="U90" s="3"/>
      <c r="V90" s="2"/>
      <c r="W90" s="2"/>
      <c r="X90" s="2"/>
      <c r="Y90" s="2"/>
      <c r="Z90" s="2"/>
      <c r="AA90" s="2"/>
      <c r="AB90" s="2"/>
      <c r="AC90" s="2"/>
      <c r="AD90" s="2"/>
    </row>
    <row r="91" spans="1:30" ht="7.5" customHeight="1" x14ac:dyDescent="0.25">
      <c r="A91" s="4"/>
      <c r="B91" s="3"/>
      <c r="C91" s="3"/>
      <c r="D91" s="3"/>
      <c r="E91" s="3"/>
      <c r="F91" s="3"/>
      <c r="G91" s="3"/>
      <c r="H91" s="3"/>
      <c r="I91" s="3"/>
      <c r="J91" s="3"/>
      <c r="K91" s="3"/>
      <c r="L91" s="3"/>
      <c r="M91" s="3"/>
      <c r="N91" s="3"/>
      <c r="O91" s="3"/>
      <c r="P91" s="3"/>
      <c r="Q91" s="3"/>
      <c r="R91" s="3"/>
      <c r="S91" s="3"/>
      <c r="T91" s="3"/>
      <c r="U91" s="3"/>
      <c r="V91" s="2"/>
      <c r="W91" s="2"/>
      <c r="X91" s="2"/>
      <c r="Y91" s="2"/>
      <c r="Z91" s="2"/>
      <c r="AA91" s="2"/>
      <c r="AB91" s="2"/>
      <c r="AC91" s="2"/>
      <c r="AD91" s="2"/>
    </row>
    <row r="92" spans="1:30" x14ac:dyDescent="0.25">
      <c r="A92" s="4"/>
      <c r="B92" s="3"/>
      <c r="C92" s="3"/>
      <c r="D92" s="3" t="s">
        <v>0</v>
      </c>
      <c r="E92" s="6"/>
      <c r="F92" s="6"/>
      <c r="G92" s="6"/>
      <c r="H92" s="3"/>
      <c r="I92" s="3" t="s">
        <v>0</v>
      </c>
      <c r="J92" s="5"/>
      <c r="K92" s="5"/>
      <c r="L92" s="5"/>
      <c r="M92" s="5"/>
      <c r="N92" s="3"/>
      <c r="O92" s="3"/>
      <c r="P92" s="3"/>
      <c r="Q92" s="3"/>
      <c r="R92" s="3"/>
      <c r="S92" s="3"/>
      <c r="T92" s="3"/>
      <c r="U92" s="3"/>
      <c r="V92" s="2"/>
      <c r="W92" s="2"/>
      <c r="X92" s="2"/>
      <c r="Y92" s="2"/>
      <c r="Z92" s="2"/>
      <c r="AA92" s="2"/>
      <c r="AB92" s="2"/>
      <c r="AC92" s="2"/>
      <c r="AD92" s="2"/>
    </row>
    <row r="93" spans="1:30" x14ac:dyDescent="0.25">
      <c r="A93" s="4"/>
      <c r="B93" s="3"/>
      <c r="C93" s="3"/>
      <c r="D93" s="3"/>
      <c r="E93" s="6"/>
      <c r="F93" s="6"/>
      <c r="G93" s="6"/>
      <c r="H93" s="3"/>
      <c r="I93" s="3"/>
      <c r="J93" s="5"/>
      <c r="K93" s="5"/>
      <c r="L93" s="5"/>
      <c r="M93" s="5"/>
      <c r="N93" s="3"/>
      <c r="O93" s="3"/>
      <c r="P93" s="3"/>
      <c r="Q93" s="3"/>
      <c r="R93" s="3"/>
      <c r="S93" s="3"/>
      <c r="T93" s="3"/>
      <c r="U93" s="3"/>
      <c r="V93" s="2"/>
      <c r="W93" s="2"/>
      <c r="X93" s="2"/>
      <c r="Y93" s="2"/>
      <c r="Z93" s="2"/>
      <c r="AA93" s="2"/>
      <c r="AB93" s="2"/>
      <c r="AC93" s="2"/>
      <c r="AD93" s="2"/>
    </row>
    <row r="94" spans="1:30" x14ac:dyDescent="0.25">
      <c r="A94" s="4"/>
      <c r="B94" s="3"/>
      <c r="C94" s="3"/>
      <c r="D94" s="3"/>
      <c r="E94" s="3"/>
      <c r="F94" s="3"/>
      <c r="G94" s="3"/>
      <c r="H94" s="3"/>
      <c r="I94" s="3"/>
      <c r="J94" s="3"/>
      <c r="K94" s="3"/>
      <c r="L94" s="3"/>
      <c r="M94" s="3"/>
      <c r="N94" s="3"/>
      <c r="O94" s="3"/>
      <c r="P94" s="3"/>
      <c r="Q94" s="3"/>
      <c r="R94" s="3"/>
      <c r="S94" s="3"/>
      <c r="T94" s="3"/>
      <c r="U94" s="3"/>
      <c r="V94" s="2"/>
      <c r="W94" s="2"/>
      <c r="X94" s="2"/>
      <c r="Y94" s="2"/>
      <c r="Z94" s="2"/>
      <c r="AA94" s="2"/>
      <c r="AB94" s="2"/>
      <c r="AC94" s="2"/>
      <c r="AD94" s="2"/>
    </row>
    <row r="95" spans="1:30" x14ac:dyDescent="0.25">
      <c r="A95" s="4"/>
      <c r="B95" s="3"/>
      <c r="C95" s="3"/>
      <c r="D95" s="3"/>
      <c r="E95" s="3"/>
      <c r="F95" s="3"/>
      <c r="G95" s="3"/>
      <c r="H95" s="3"/>
      <c r="I95" s="3"/>
      <c r="J95" s="3"/>
      <c r="K95" s="3"/>
      <c r="L95" s="3"/>
      <c r="M95" s="3"/>
      <c r="N95" s="3"/>
      <c r="O95" s="3"/>
      <c r="P95" s="3"/>
      <c r="Q95" s="3"/>
      <c r="R95" s="3"/>
      <c r="S95" s="3"/>
      <c r="T95" s="3"/>
      <c r="U95" s="3"/>
      <c r="V95" s="2"/>
      <c r="W95" s="2"/>
      <c r="X95" s="2"/>
      <c r="Y95" s="2"/>
      <c r="Z95" s="2"/>
      <c r="AA95" s="2"/>
      <c r="AB95" s="2"/>
      <c r="AC95" s="2"/>
      <c r="AD95" s="2"/>
    </row>
    <row r="96" spans="1:30" hidden="1" x14ac:dyDescent="0.25"/>
    <row r="112" ht="15" hidden="1" customHeight="1" x14ac:dyDescent="0.25"/>
    <row r="126" ht="15" hidden="1" customHeight="1" x14ac:dyDescent="0.25"/>
    <row r="127" ht="15" hidden="1" customHeight="1" x14ac:dyDescent="0.25"/>
    <row r="276" x14ac:dyDescent="0.25"/>
  </sheetData>
  <mergeCells count="65">
    <mergeCell ref="B81:U81"/>
    <mergeCell ref="E90:G90"/>
    <mergeCell ref="J90:M90"/>
    <mergeCell ref="I26:I27"/>
    <mergeCell ref="C43:C44"/>
    <mergeCell ref="C46:C47"/>
    <mergeCell ref="D58:U58"/>
    <mergeCell ref="B61:U61"/>
    <mergeCell ref="B62:U62"/>
    <mergeCell ref="B60:U60"/>
    <mergeCell ref="P26:R26"/>
    <mergeCell ref="S26:S27"/>
    <mergeCell ref="T26:T27"/>
    <mergeCell ref="U26:U27"/>
    <mergeCell ref="B26:B27"/>
    <mergeCell ref="C26:C27"/>
    <mergeCell ref="D26:F26"/>
    <mergeCell ref="G26:G27"/>
    <mergeCell ref="H26:H27"/>
    <mergeCell ref="Z13:Z14"/>
    <mergeCell ref="I13:I14"/>
    <mergeCell ref="J13:L13"/>
    <mergeCell ref="M13:M14"/>
    <mergeCell ref="N13:N14"/>
    <mergeCell ref="O13:O14"/>
    <mergeCell ref="Y26:Y27"/>
    <mergeCell ref="D25:I25"/>
    <mergeCell ref="J25:O25"/>
    <mergeCell ref="P25:U25"/>
    <mergeCell ref="V25:AA25"/>
    <mergeCell ref="S13:S14"/>
    <mergeCell ref="T13:T14"/>
    <mergeCell ref="U13:U14"/>
    <mergeCell ref="V13:X13"/>
    <mergeCell ref="Y13:Y14"/>
    <mergeCell ref="V12:AA12"/>
    <mergeCell ref="AA13:AA14"/>
    <mergeCell ref="AB25:AB27"/>
    <mergeCell ref="J26:L26"/>
    <mergeCell ref="M26:M27"/>
    <mergeCell ref="N26:N27"/>
    <mergeCell ref="O26:O27"/>
    <mergeCell ref="Z26:Z27"/>
    <mergeCell ref="AA26:AA27"/>
    <mergeCell ref="V26:X26"/>
    <mergeCell ref="P13:R13"/>
    <mergeCell ref="V10:AA10"/>
    <mergeCell ref="AB10:AB14"/>
    <mergeCell ref="D11:G11"/>
    <mergeCell ref="J11:M11"/>
    <mergeCell ref="P11:S11"/>
    <mergeCell ref="V11:Y11"/>
    <mergeCell ref="D12:I12"/>
    <mergeCell ref="J12:O12"/>
    <mergeCell ref="P12:U12"/>
    <mergeCell ref="D4:U4"/>
    <mergeCell ref="D8:U8"/>
    <mergeCell ref="B10:B13"/>
    <mergeCell ref="C10:C13"/>
    <mergeCell ref="D10:I10"/>
    <mergeCell ref="J10:O10"/>
    <mergeCell ref="P10:U10"/>
    <mergeCell ref="D13:F13"/>
    <mergeCell ref="G13:G14"/>
    <mergeCell ref="H13:H14"/>
  </mergeCells>
  <conditionalFormatting sqref="AB15:AB25">
    <cfRule type="cellIs" dxfId="69" priority="1" operator="equal">
      <formula>0</formula>
    </cfRule>
    <cfRule type="containsErrors" dxfId="68" priority="2">
      <formula>ISERROR(AB15)</formula>
    </cfRule>
  </conditionalFormatting>
  <conditionalFormatting sqref="AB28:AB41">
    <cfRule type="cellIs" dxfId="67" priority="3" operator="equal">
      <formula>0</formula>
    </cfRule>
    <cfRule type="containsErrors" dxfId="66" priority="4">
      <formula>ISERROR(AB28)</formula>
    </cfRule>
  </conditionalFormatting>
  <pageMargins left="0.70833333333333304" right="0.70833333333333304" top="0.78749999999999998" bottom="0.78749999999999998" header="0.511811023622047" footer="0.511811023622047"/>
  <pageSetup paperSize="8" scale="40"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D276"/>
  <sheetViews>
    <sheetView showGridLines="0" zoomScale="80" zoomScaleNormal="80" zoomScaleSheetLayoutView="80" workbookViewId="0">
      <selection activeCell="K2" sqref="A1:K2"/>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212</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46789723</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211</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1097.9000000000001</v>
      </c>
      <c r="G15" s="366">
        <f>SUM(D15:F15)</f>
        <v>1097.9000000000001</v>
      </c>
      <c r="H15" s="352">
        <v>0</v>
      </c>
      <c r="I15" s="266">
        <f>G15+H15</f>
        <v>1097.9000000000001</v>
      </c>
      <c r="J15" s="369"/>
      <c r="K15" s="368"/>
      <c r="L15" s="367">
        <v>2050</v>
      </c>
      <c r="M15" s="366">
        <f>SUM(J15:L15)</f>
        <v>2050</v>
      </c>
      <c r="N15" s="352">
        <v>0</v>
      </c>
      <c r="O15" s="266">
        <f>M15+N15</f>
        <v>2050</v>
      </c>
      <c r="P15" s="369"/>
      <c r="Q15" s="368"/>
      <c r="R15" s="367">
        <v>623.6</v>
      </c>
      <c r="S15" s="366">
        <f>SUM(P15:R15)</f>
        <v>623.6</v>
      </c>
      <c r="T15" s="352">
        <v>0</v>
      </c>
      <c r="U15" s="266">
        <f>S15+T15</f>
        <v>623.6</v>
      </c>
      <c r="V15" s="369"/>
      <c r="W15" s="368"/>
      <c r="X15" s="367">
        <v>2070</v>
      </c>
      <c r="Y15" s="366">
        <f>SUM(V15:X15)</f>
        <v>2070</v>
      </c>
      <c r="Z15" s="352">
        <v>0</v>
      </c>
      <c r="AA15" s="266">
        <f>Y15+Z15</f>
        <v>2070</v>
      </c>
      <c r="AB15" s="232">
        <f>(AA15/O15)</f>
        <v>1.0097560975609756</v>
      </c>
      <c r="AC15" s="178"/>
      <c r="AD15" s="178"/>
    </row>
    <row r="16" spans="1:30" x14ac:dyDescent="0.25">
      <c r="A16" s="180"/>
      <c r="B16" s="274" t="s">
        <v>86</v>
      </c>
      <c r="C16" s="361" t="s">
        <v>85</v>
      </c>
      <c r="D16" s="360">
        <v>5689.9</v>
      </c>
      <c r="E16" s="343"/>
      <c r="F16" s="343"/>
      <c r="G16" s="341">
        <f>SUM(D16:F16)</f>
        <v>5689.9</v>
      </c>
      <c r="H16" s="358"/>
      <c r="I16" s="266">
        <f>G16+H16</f>
        <v>5689.9</v>
      </c>
      <c r="J16" s="360">
        <v>5995</v>
      </c>
      <c r="K16" s="343"/>
      <c r="L16" s="343"/>
      <c r="M16" s="341">
        <f>SUM(J16:L16)</f>
        <v>5995</v>
      </c>
      <c r="N16" s="358"/>
      <c r="O16" s="266">
        <f>M16+N16</f>
        <v>5995</v>
      </c>
      <c r="P16" s="360">
        <v>2941.3</v>
      </c>
      <c r="Q16" s="343"/>
      <c r="R16" s="343"/>
      <c r="S16" s="341">
        <f>SUM(P16:R16)</f>
        <v>2941.3</v>
      </c>
      <c r="T16" s="358"/>
      <c r="U16" s="266">
        <f>S16+T16</f>
        <v>2941.3</v>
      </c>
      <c r="V16" s="360">
        <v>6190</v>
      </c>
      <c r="W16" s="343"/>
      <c r="X16" s="343"/>
      <c r="Y16" s="341">
        <f>SUM(V16:X16)</f>
        <v>6190</v>
      </c>
      <c r="Z16" s="358"/>
      <c r="AA16" s="266">
        <f>Y16+Z16</f>
        <v>6190</v>
      </c>
      <c r="AB16" s="232">
        <f>(AA16/O16)</f>
        <v>1.0325271059216012</v>
      </c>
      <c r="AC16" s="178"/>
      <c r="AD16" s="178"/>
    </row>
    <row r="17" spans="1:30" x14ac:dyDescent="0.25">
      <c r="A17" s="180"/>
      <c r="B17" s="274" t="s">
        <v>84</v>
      </c>
      <c r="C17" s="357" t="s">
        <v>83</v>
      </c>
      <c r="D17" s="356">
        <v>283.39999999999998</v>
      </c>
      <c r="E17" s="350"/>
      <c r="F17" s="350"/>
      <c r="G17" s="341">
        <f>SUM(D17:F17)</f>
        <v>283.39999999999998</v>
      </c>
      <c r="H17" s="355"/>
      <c r="I17" s="266">
        <f>G17+H17</f>
        <v>283.39999999999998</v>
      </c>
      <c r="J17" s="356">
        <v>436.5</v>
      </c>
      <c r="K17" s="350"/>
      <c r="L17" s="350"/>
      <c r="M17" s="341">
        <f>SUM(J17:L17)</f>
        <v>436.5</v>
      </c>
      <c r="N17" s="355"/>
      <c r="O17" s="266">
        <f>M17+N17</f>
        <v>436.5</v>
      </c>
      <c r="P17" s="356">
        <v>262.8</v>
      </c>
      <c r="Q17" s="350"/>
      <c r="R17" s="350"/>
      <c r="S17" s="341">
        <f>SUM(P17:R17)</f>
        <v>262.8</v>
      </c>
      <c r="T17" s="355"/>
      <c r="U17" s="266">
        <f>S17+T17</f>
        <v>262.8</v>
      </c>
      <c r="V17" s="356">
        <v>276.2</v>
      </c>
      <c r="W17" s="350"/>
      <c r="X17" s="350"/>
      <c r="Y17" s="341">
        <f>SUM(V17:X17)</f>
        <v>276.2</v>
      </c>
      <c r="Z17" s="355"/>
      <c r="AA17" s="266">
        <f>Y17+Z17</f>
        <v>276.2</v>
      </c>
      <c r="AB17" s="232">
        <f>(AA17/O17)</f>
        <v>0.63276059564719356</v>
      </c>
      <c r="AC17" s="178"/>
      <c r="AD17" s="178"/>
    </row>
    <row r="18" spans="1:30" x14ac:dyDescent="0.25">
      <c r="A18" s="180"/>
      <c r="B18" s="274" t="s">
        <v>82</v>
      </c>
      <c r="C18" s="354" t="s">
        <v>81</v>
      </c>
      <c r="D18" s="344"/>
      <c r="E18" s="353">
        <v>37790.199999999997</v>
      </c>
      <c r="F18" s="350"/>
      <c r="G18" s="341">
        <f>SUM(D18:F18)</f>
        <v>37790.199999999997</v>
      </c>
      <c r="H18" s="352"/>
      <c r="I18" s="266">
        <f>G18+H18</f>
        <v>37790.199999999997</v>
      </c>
      <c r="J18" s="344"/>
      <c r="K18" s="353">
        <v>35727</v>
      </c>
      <c r="L18" s="350"/>
      <c r="M18" s="341">
        <f>SUM(J18:L18)</f>
        <v>35727</v>
      </c>
      <c r="N18" s="352"/>
      <c r="O18" s="266">
        <f>M18+N18</f>
        <v>35727</v>
      </c>
      <c r="P18" s="344"/>
      <c r="Q18" s="353">
        <v>17815.2</v>
      </c>
      <c r="R18" s="350"/>
      <c r="S18" s="341">
        <f>SUM(P18:R18)</f>
        <v>17815.2</v>
      </c>
      <c r="T18" s="352"/>
      <c r="U18" s="266">
        <f>S18+T18</f>
        <v>17815.2</v>
      </c>
      <c r="V18" s="344"/>
      <c r="W18" s="353">
        <v>41453.5</v>
      </c>
      <c r="X18" s="350"/>
      <c r="Y18" s="341">
        <f>SUM(V18:X18)</f>
        <v>41453.5</v>
      </c>
      <c r="Z18" s="352"/>
      <c r="AA18" s="266">
        <f>Y18+Z18</f>
        <v>41453.5</v>
      </c>
      <c r="AB18" s="232">
        <f>(AA18/O18)</f>
        <v>1.1602849385618719</v>
      </c>
      <c r="AC18" s="178"/>
      <c r="AD18" s="178"/>
    </row>
    <row r="19" spans="1:30" x14ac:dyDescent="0.25">
      <c r="A19" s="180"/>
      <c r="B19" s="274" t="s">
        <v>80</v>
      </c>
      <c r="C19" s="280" t="s">
        <v>79</v>
      </c>
      <c r="D19" s="351"/>
      <c r="E19" s="350"/>
      <c r="F19" s="347">
        <v>424.9</v>
      </c>
      <c r="G19" s="341">
        <f>SUM(D19:F19)</f>
        <v>424.9</v>
      </c>
      <c r="H19" s="345"/>
      <c r="I19" s="266">
        <f>G19+H19</f>
        <v>424.9</v>
      </c>
      <c r="J19" s="351"/>
      <c r="K19" s="350"/>
      <c r="L19" s="347"/>
      <c r="M19" s="341">
        <f>SUM(J19:L19)</f>
        <v>0</v>
      </c>
      <c r="N19" s="345"/>
      <c r="O19" s="266">
        <f>M19+N19</f>
        <v>0</v>
      </c>
      <c r="P19" s="351"/>
      <c r="Q19" s="350"/>
      <c r="R19" s="347">
        <v>509.7</v>
      </c>
      <c r="S19" s="341">
        <f>SUM(P19:R19)</f>
        <v>509.7</v>
      </c>
      <c r="T19" s="345"/>
      <c r="U19" s="266">
        <f>S19+T19</f>
        <v>509.7</v>
      </c>
      <c r="V19" s="351"/>
      <c r="W19" s="350"/>
      <c r="X19" s="347">
        <v>977</v>
      </c>
      <c r="Y19" s="341">
        <f>SUM(V19:X19)</f>
        <v>977</v>
      </c>
      <c r="Z19" s="345"/>
      <c r="AA19" s="266">
        <f>Y19+Z19</f>
        <v>977</v>
      </c>
      <c r="AB19" s="232" t="e">
        <f>(AA19/O19)</f>
        <v>#DIV/0!</v>
      </c>
      <c r="AC19" s="178"/>
      <c r="AD19" s="178"/>
    </row>
    <row r="20" spans="1:30" x14ac:dyDescent="0.25">
      <c r="A20" s="180"/>
      <c r="B20" s="274" t="s">
        <v>78</v>
      </c>
      <c r="C20" s="346" t="s">
        <v>77</v>
      </c>
      <c r="D20" s="344"/>
      <c r="E20" s="343"/>
      <c r="F20" s="342">
        <v>102.4</v>
      </c>
      <c r="G20" s="341">
        <f>SUM(D20:F20)</f>
        <v>102.4</v>
      </c>
      <c r="H20" s="345"/>
      <c r="I20" s="266">
        <f>G20+H20</f>
        <v>102.4</v>
      </c>
      <c r="J20" s="344"/>
      <c r="K20" s="343"/>
      <c r="L20" s="342"/>
      <c r="M20" s="341">
        <f>SUM(J20:L20)</f>
        <v>0</v>
      </c>
      <c r="N20" s="345"/>
      <c r="O20" s="266">
        <f>M20+N20</f>
        <v>0</v>
      </c>
      <c r="P20" s="344"/>
      <c r="Q20" s="343"/>
      <c r="R20" s="342">
        <v>201</v>
      </c>
      <c r="S20" s="341">
        <f>SUM(P20:R20)</f>
        <v>201</v>
      </c>
      <c r="T20" s="345"/>
      <c r="U20" s="266">
        <f>S20+T20</f>
        <v>201</v>
      </c>
      <c r="V20" s="344"/>
      <c r="W20" s="343"/>
      <c r="X20" s="342">
        <v>300</v>
      </c>
      <c r="Y20" s="341">
        <f>SUM(V20:X20)</f>
        <v>300</v>
      </c>
      <c r="Z20" s="345"/>
      <c r="AA20" s="266">
        <f>Y20+Z20</f>
        <v>300</v>
      </c>
      <c r="AB20" s="232" t="e">
        <f>(AA20/O20)</f>
        <v>#DIV/0!</v>
      </c>
      <c r="AC20" s="178"/>
      <c r="AD20" s="178"/>
    </row>
    <row r="21" spans="1:30" x14ac:dyDescent="0.25">
      <c r="A21" s="180"/>
      <c r="B21" s="274" t="s">
        <v>76</v>
      </c>
      <c r="C21" s="273" t="s">
        <v>75</v>
      </c>
      <c r="D21" s="344"/>
      <c r="E21" s="343"/>
      <c r="F21" s="342">
        <v>85.4</v>
      </c>
      <c r="G21" s="341">
        <f>SUM(D21:F21)</f>
        <v>85.4</v>
      </c>
      <c r="H21" s="336">
        <v>117.3</v>
      </c>
      <c r="I21" s="266">
        <f>G21+H21</f>
        <v>202.7</v>
      </c>
      <c r="J21" s="344"/>
      <c r="K21" s="343"/>
      <c r="L21" s="342"/>
      <c r="M21" s="341">
        <f>SUM(J21:L21)</f>
        <v>0</v>
      </c>
      <c r="N21" s="336">
        <v>210</v>
      </c>
      <c r="O21" s="266">
        <f>M21+N21</f>
        <v>210</v>
      </c>
      <c r="P21" s="344"/>
      <c r="Q21" s="343"/>
      <c r="R21" s="342">
        <v>270.89999999999998</v>
      </c>
      <c r="S21" s="341">
        <f>SUM(P21:R21)</f>
        <v>270.89999999999998</v>
      </c>
      <c r="T21" s="336">
        <v>20</v>
      </c>
      <c r="U21" s="266">
        <f>S21+T21</f>
        <v>290.89999999999998</v>
      </c>
      <c r="V21" s="344"/>
      <c r="W21" s="343"/>
      <c r="X21" s="342" t="s">
        <v>52</v>
      </c>
      <c r="Y21" s="341">
        <f>SUM(V21:X21)</f>
        <v>0</v>
      </c>
      <c r="Z21" s="336">
        <v>210</v>
      </c>
      <c r="AA21" s="266">
        <f>Y21+Z21</f>
        <v>210</v>
      </c>
      <c r="AB21" s="232">
        <f>(AA21/O21)</f>
        <v>1</v>
      </c>
      <c r="AC21" s="178"/>
      <c r="AD21" s="178"/>
    </row>
    <row r="22" spans="1:30" x14ac:dyDescent="0.25">
      <c r="A22" s="180"/>
      <c r="B22" s="274" t="s">
        <v>74</v>
      </c>
      <c r="C22" s="273" t="s">
        <v>73</v>
      </c>
      <c r="D22" s="344"/>
      <c r="E22" s="343"/>
      <c r="F22" s="342"/>
      <c r="G22" s="341">
        <f>SUM(D22:F22)</f>
        <v>0</v>
      </c>
      <c r="H22" s="336">
        <v>114.2</v>
      </c>
      <c r="I22" s="266">
        <f>G22+H22</f>
        <v>114.2</v>
      </c>
      <c r="J22" s="344"/>
      <c r="K22" s="343"/>
      <c r="L22" s="342"/>
      <c r="M22" s="341">
        <f>SUM(J22:L22)</f>
        <v>0</v>
      </c>
      <c r="N22" s="336">
        <v>200</v>
      </c>
      <c r="O22" s="266">
        <f>M22+N22</f>
        <v>200</v>
      </c>
      <c r="P22" s="344"/>
      <c r="Q22" s="343"/>
      <c r="R22" s="342"/>
      <c r="S22" s="341">
        <f>SUM(P22:R22)</f>
        <v>0</v>
      </c>
      <c r="T22" s="336">
        <v>0</v>
      </c>
      <c r="U22" s="266">
        <f>S22+T22</f>
        <v>0</v>
      </c>
      <c r="V22" s="344"/>
      <c r="W22" s="343"/>
      <c r="X22" s="342"/>
      <c r="Y22" s="341">
        <f>SUM(V22:X22)</f>
        <v>0</v>
      </c>
      <c r="Z22" s="336">
        <v>200</v>
      </c>
      <c r="AA22" s="266">
        <f>Y22+Z22</f>
        <v>200</v>
      </c>
      <c r="AB22" s="232">
        <f>(AA22/O22)</f>
        <v>1</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5973.2999999999993</v>
      </c>
      <c r="E24" s="322">
        <f>SUM(E15:E21)</f>
        <v>37790.199999999997</v>
      </c>
      <c r="F24" s="322">
        <f>SUM(F15:F21)</f>
        <v>1710.6000000000004</v>
      </c>
      <c r="G24" s="321">
        <f>SUM(D24:F24)</f>
        <v>45474.1</v>
      </c>
      <c r="H24" s="320">
        <f>SUM(H15:H21)</f>
        <v>117.3</v>
      </c>
      <c r="I24" s="320">
        <f>SUM(I15:I21)</f>
        <v>45591.399999999994</v>
      </c>
      <c r="J24" s="323">
        <f>SUM(J15:J21)</f>
        <v>6431.5</v>
      </c>
      <c r="K24" s="322">
        <f>SUM(K15:K21)</f>
        <v>35727</v>
      </c>
      <c r="L24" s="322">
        <f>SUM(L15:L21)</f>
        <v>2050</v>
      </c>
      <c r="M24" s="321">
        <f>SUM(J24:L24)</f>
        <v>44208.5</v>
      </c>
      <c r="N24" s="320">
        <f>SUM(N15:N21)</f>
        <v>210</v>
      </c>
      <c r="O24" s="320">
        <f>SUM(O15:O21)</f>
        <v>44418.5</v>
      </c>
      <c r="P24" s="323">
        <f>SUM(P15:P21)</f>
        <v>3204.1000000000004</v>
      </c>
      <c r="Q24" s="322">
        <f>SUM(Q15:Q21)</f>
        <v>17815.2</v>
      </c>
      <c r="R24" s="322">
        <f>SUM(R15:R21)</f>
        <v>1605.1999999999998</v>
      </c>
      <c r="S24" s="321">
        <f>SUM(P24:R24)</f>
        <v>22624.500000000004</v>
      </c>
      <c r="T24" s="320">
        <f>SUM(T15:T21)</f>
        <v>20</v>
      </c>
      <c r="U24" s="320">
        <f>SUM(U15:U21)</f>
        <v>22644.500000000004</v>
      </c>
      <c r="V24" s="323">
        <f>SUM(V15:V21)</f>
        <v>6466.2</v>
      </c>
      <c r="W24" s="322">
        <f>SUM(W15:W21)</f>
        <v>41453.5</v>
      </c>
      <c r="X24" s="322">
        <f>SUM(X15:X21)</f>
        <v>3347</v>
      </c>
      <c r="Y24" s="321">
        <f>SUM(V24:X24)</f>
        <v>51266.7</v>
      </c>
      <c r="Z24" s="320">
        <f>SUM(Z15:Z21)</f>
        <v>210</v>
      </c>
      <c r="AA24" s="320">
        <f>SUM(AA15:AA21)</f>
        <v>51476.7</v>
      </c>
      <c r="AB24" s="319">
        <f>(AA24/O24)</f>
        <v>1.1589022591938043</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574.9</v>
      </c>
      <c r="E28" s="287"/>
      <c r="F28" s="287"/>
      <c r="G28" s="286">
        <f>SUM(D28:F28)</f>
        <v>574.9</v>
      </c>
      <c r="H28" s="286"/>
      <c r="I28" s="285">
        <f>G28+H28</f>
        <v>574.9</v>
      </c>
      <c r="J28" s="288">
        <v>540</v>
      </c>
      <c r="K28" s="287"/>
      <c r="L28" s="287"/>
      <c r="M28" s="286">
        <f>SUM(J28:L28)</f>
        <v>540</v>
      </c>
      <c r="N28" s="286"/>
      <c r="O28" s="285">
        <f>M28+N28</f>
        <v>540</v>
      </c>
      <c r="P28" s="288">
        <v>167.5</v>
      </c>
      <c r="Q28" s="287"/>
      <c r="R28" s="287"/>
      <c r="S28" s="286">
        <f>SUM(P28:R28)</f>
        <v>167.5</v>
      </c>
      <c r="T28" s="286"/>
      <c r="U28" s="285">
        <f>S28+T28</f>
        <v>167.5</v>
      </c>
      <c r="V28" s="288">
        <v>450</v>
      </c>
      <c r="W28" s="287"/>
      <c r="X28" s="287"/>
      <c r="Y28" s="286">
        <f>SUM(V28:X28)</f>
        <v>450</v>
      </c>
      <c r="Z28" s="286"/>
      <c r="AA28" s="285">
        <f>Y28+Z28</f>
        <v>450</v>
      </c>
      <c r="AB28" s="232">
        <f>(AA28/O28)</f>
        <v>0.83333333333333337</v>
      </c>
      <c r="AC28" s="178"/>
      <c r="AD28" s="178"/>
    </row>
    <row r="29" spans="1:30" x14ac:dyDescent="0.25">
      <c r="A29" s="180"/>
      <c r="B29" s="274" t="s">
        <v>56</v>
      </c>
      <c r="C29" s="284" t="s">
        <v>55</v>
      </c>
      <c r="D29" s="282">
        <v>585.20000000000005</v>
      </c>
      <c r="E29" s="282">
        <v>257.39999999999998</v>
      </c>
      <c r="F29" s="282">
        <v>1153</v>
      </c>
      <c r="G29" s="263">
        <f>SUM(D29:F29)</f>
        <v>1995.6</v>
      </c>
      <c r="H29" s="281">
        <v>36.200000000000003</v>
      </c>
      <c r="I29" s="266">
        <f>G29+H29</f>
        <v>2031.8</v>
      </c>
      <c r="J29" s="283">
        <v>808</v>
      </c>
      <c r="K29" s="282">
        <v>372</v>
      </c>
      <c r="L29" s="282">
        <v>1850</v>
      </c>
      <c r="M29" s="263">
        <f>SUM(J29:L29)</f>
        <v>3030</v>
      </c>
      <c r="N29" s="281"/>
      <c r="O29" s="266">
        <f>M29+N29</f>
        <v>3030</v>
      </c>
      <c r="P29" s="283">
        <v>188.3</v>
      </c>
      <c r="Q29" s="282">
        <v>6</v>
      </c>
      <c r="R29" s="282">
        <v>665.3</v>
      </c>
      <c r="S29" s="263">
        <f>SUM(P29:R29)</f>
        <v>859.59999999999991</v>
      </c>
      <c r="T29" s="281"/>
      <c r="U29" s="266">
        <f>S29+T29</f>
        <v>859.59999999999991</v>
      </c>
      <c r="V29" s="283">
        <v>834</v>
      </c>
      <c r="W29" s="282">
        <v>200</v>
      </c>
      <c r="X29" s="282">
        <v>2020</v>
      </c>
      <c r="Y29" s="263">
        <f>SUM(V29:X29)</f>
        <v>3054</v>
      </c>
      <c r="Z29" s="281"/>
      <c r="AA29" s="266">
        <f>Y29+Z29</f>
        <v>3054</v>
      </c>
      <c r="AB29" s="232">
        <f>(AA29/O29)</f>
        <v>1.0079207920792079</v>
      </c>
      <c r="AC29" s="178"/>
      <c r="AD29" s="178"/>
    </row>
    <row r="30" spans="1:30" x14ac:dyDescent="0.25">
      <c r="A30" s="180"/>
      <c r="B30" s="274" t="s">
        <v>54</v>
      </c>
      <c r="C30" s="273" t="s">
        <v>53</v>
      </c>
      <c r="D30" s="267">
        <v>2268.4</v>
      </c>
      <c r="E30" s="267"/>
      <c r="F30" s="267" t="s">
        <v>52</v>
      </c>
      <c r="G30" s="263">
        <f>SUM(D30:F30)</f>
        <v>2268.4</v>
      </c>
      <c r="H30" s="263"/>
      <c r="I30" s="266">
        <f>G30+H30</f>
        <v>2268.4</v>
      </c>
      <c r="J30" s="268">
        <v>3235</v>
      </c>
      <c r="K30" s="267"/>
      <c r="L30" s="267"/>
      <c r="M30" s="263">
        <f>SUM(J30:L30)</f>
        <v>3235</v>
      </c>
      <c r="N30" s="263">
        <v>60</v>
      </c>
      <c r="O30" s="266">
        <f>M30+N30</f>
        <v>3295</v>
      </c>
      <c r="P30" s="268">
        <v>1380.2</v>
      </c>
      <c r="Q30" s="267"/>
      <c r="R30" s="267"/>
      <c r="S30" s="263">
        <f>SUM(P30:R30)</f>
        <v>1380.2</v>
      </c>
      <c r="T30" s="263">
        <v>3.5</v>
      </c>
      <c r="U30" s="266">
        <f>S30+T30</f>
        <v>1383.7</v>
      </c>
      <c r="V30" s="268">
        <v>3390</v>
      </c>
      <c r="W30" s="267"/>
      <c r="X30" s="267"/>
      <c r="Y30" s="263">
        <f>SUM(V30:X30)</f>
        <v>3390</v>
      </c>
      <c r="Z30" s="263">
        <v>60</v>
      </c>
      <c r="AA30" s="266">
        <f>Y30+Z30</f>
        <v>3450</v>
      </c>
      <c r="AB30" s="232">
        <f>(AA30/O30)</f>
        <v>1.047040971168437</v>
      </c>
      <c r="AC30" s="178"/>
      <c r="AD30" s="178"/>
    </row>
    <row r="31" spans="1:30" x14ac:dyDescent="0.25">
      <c r="A31" s="180"/>
      <c r="B31" s="274" t="s">
        <v>51</v>
      </c>
      <c r="C31" s="273" t="s">
        <v>50</v>
      </c>
      <c r="D31" s="267">
        <v>631.29999999999995</v>
      </c>
      <c r="E31" s="267">
        <v>28.1</v>
      </c>
      <c r="F31" s="267"/>
      <c r="G31" s="263">
        <f>SUM(D31:F31)</f>
        <v>659.4</v>
      </c>
      <c r="H31" s="263"/>
      <c r="I31" s="266">
        <f>G31+H31</f>
        <v>659.4</v>
      </c>
      <c r="J31" s="268">
        <v>736</v>
      </c>
      <c r="K31" s="267"/>
      <c r="L31" s="267"/>
      <c r="M31" s="263">
        <f>SUM(J31:L31)</f>
        <v>736</v>
      </c>
      <c r="N31" s="263"/>
      <c r="O31" s="266">
        <f>M31+N31</f>
        <v>736</v>
      </c>
      <c r="P31" s="268">
        <v>461.3</v>
      </c>
      <c r="Q31" s="267"/>
      <c r="R31" s="267"/>
      <c r="S31" s="263">
        <f>SUM(P31:R31)</f>
        <v>461.3</v>
      </c>
      <c r="T31" s="263"/>
      <c r="U31" s="266">
        <f>S31+T31</f>
        <v>461.3</v>
      </c>
      <c r="V31" s="268">
        <v>911.7</v>
      </c>
      <c r="W31" s="267"/>
      <c r="X31" s="267"/>
      <c r="Y31" s="263">
        <f>SUM(V31:X31)</f>
        <v>911.7</v>
      </c>
      <c r="Z31" s="263"/>
      <c r="AA31" s="266">
        <f>Y31+Z31</f>
        <v>911.7</v>
      </c>
      <c r="AB31" s="232">
        <f>(AA31/O31)</f>
        <v>1.2387228260869565</v>
      </c>
      <c r="AC31" s="178"/>
      <c r="AD31" s="178"/>
    </row>
    <row r="32" spans="1:30" x14ac:dyDescent="0.25">
      <c r="A32" s="180"/>
      <c r="B32" s="274" t="s">
        <v>49</v>
      </c>
      <c r="C32" s="273" t="s">
        <v>48</v>
      </c>
      <c r="D32" s="433">
        <v>166.7</v>
      </c>
      <c r="E32" s="267">
        <f>SUM(E33:E34)</f>
        <v>26918.799999999999</v>
      </c>
      <c r="F32" s="267">
        <f>SUM(F33:F34)</f>
        <v>4</v>
      </c>
      <c r="G32" s="263">
        <f>SUM(D32:F32)</f>
        <v>27089.5</v>
      </c>
      <c r="H32" s="263"/>
      <c r="I32" s="266">
        <f>G32+H32</f>
        <v>27089.5</v>
      </c>
      <c r="J32" s="275">
        <v>200.5</v>
      </c>
      <c r="K32" s="267">
        <v>25875</v>
      </c>
      <c r="L32" s="267"/>
      <c r="M32" s="263">
        <f>SUM(J32:L32)</f>
        <v>26075.5</v>
      </c>
      <c r="N32" s="263"/>
      <c r="O32" s="266">
        <f>M32+N32</f>
        <v>26075.5</v>
      </c>
      <c r="P32" s="275">
        <v>95</v>
      </c>
      <c r="Q32" s="267">
        <v>12940</v>
      </c>
      <c r="R32" s="267">
        <v>224.4</v>
      </c>
      <c r="S32" s="263">
        <f>SUM(P32:R32)</f>
        <v>13259.4</v>
      </c>
      <c r="T32" s="263"/>
      <c r="U32" s="266">
        <f>S32+T32</f>
        <v>13259.4</v>
      </c>
      <c r="V32" s="275">
        <v>133</v>
      </c>
      <c r="W32" s="267">
        <f>SUM(W33:W34)</f>
        <v>29641</v>
      </c>
      <c r="X32" s="267"/>
      <c r="Y32" s="263">
        <f>SUM(V32:X32)</f>
        <v>29774</v>
      </c>
      <c r="Z32" s="263"/>
      <c r="AA32" s="266">
        <f>Y32+Z32</f>
        <v>29774</v>
      </c>
      <c r="AB32" s="232">
        <f>(AA32/O32)</f>
        <v>1.1418381239094169</v>
      </c>
      <c r="AC32" s="178"/>
      <c r="AD32" s="178"/>
    </row>
    <row r="33" spans="1:30" x14ac:dyDescent="0.25">
      <c r="A33" s="180"/>
      <c r="B33" s="274" t="s">
        <v>47</v>
      </c>
      <c r="C33" s="280" t="s">
        <v>46</v>
      </c>
      <c r="D33" s="433">
        <v>166.7</v>
      </c>
      <c r="E33" s="267">
        <v>26306.799999999999</v>
      </c>
      <c r="F33" s="267">
        <v>4</v>
      </c>
      <c r="G33" s="263">
        <f>SUM(D33:F33)</f>
        <v>26477.5</v>
      </c>
      <c r="H33" s="263"/>
      <c r="I33" s="266">
        <f>G33+H33</f>
        <v>26477.5</v>
      </c>
      <c r="J33" s="275">
        <v>200.5</v>
      </c>
      <c r="K33" s="267">
        <v>25835</v>
      </c>
      <c r="L33" s="267"/>
      <c r="M33" s="263">
        <f>SUM(J33:L33)</f>
        <v>26035.5</v>
      </c>
      <c r="N33" s="263"/>
      <c r="O33" s="266">
        <f>M33+N33</f>
        <v>26035.5</v>
      </c>
      <c r="P33" s="275">
        <v>95</v>
      </c>
      <c r="Q33" s="267">
        <v>12938.4</v>
      </c>
      <c r="R33" s="267">
        <v>207.9</v>
      </c>
      <c r="S33" s="263">
        <f>SUM(P33:R33)</f>
        <v>13241.3</v>
      </c>
      <c r="T33" s="263"/>
      <c r="U33" s="266">
        <f>S33+T33</f>
        <v>13241.3</v>
      </c>
      <c r="V33" s="275">
        <v>133</v>
      </c>
      <c r="W33" s="267">
        <v>29591</v>
      </c>
      <c r="X33" s="267"/>
      <c r="Y33" s="263">
        <f>SUM(V33:X33)</f>
        <v>29724</v>
      </c>
      <c r="Z33" s="263"/>
      <c r="AA33" s="266">
        <f>Y33+Z33</f>
        <v>29724</v>
      </c>
      <c r="AB33" s="232">
        <f>(AA33/O33)</f>
        <v>1.1416719479172668</v>
      </c>
      <c r="AC33" s="178"/>
      <c r="AD33" s="178"/>
    </row>
    <row r="34" spans="1:30" x14ac:dyDescent="0.25">
      <c r="A34" s="180"/>
      <c r="B34" s="274" t="s">
        <v>45</v>
      </c>
      <c r="C34" s="278" t="s">
        <v>44</v>
      </c>
      <c r="D34" s="433" t="s">
        <v>52</v>
      </c>
      <c r="E34" s="267">
        <v>612</v>
      </c>
      <c r="F34" s="267"/>
      <c r="G34" s="263">
        <f>SUM(D34:F34)</f>
        <v>612</v>
      </c>
      <c r="H34" s="263"/>
      <c r="I34" s="266">
        <f>G34+H34</f>
        <v>612</v>
      </c>
      <c r="J34" s="275"/>
      <c r="K34" s="267">
        <v>40</v>
      </c>
      <c r="L34" s="267"/>
      <c r="M34" s="263">
        <f>SUM(J34:L34)</f>
        <v>40</v>
      </c>
      <c r="N34" s="263"/>
      <c r="O34" s="266">
        <f>M34+N34</f>
        <v>40</v>
      </c>
      <c r="P34" s="275" t="s">
        <v>52</v>
      </c>
      <c r="Q34" s="267">
        <v>1.6</v>
      </c>
      <c r="R34" s="267">
        <v>16.5</v>
      </c>
      <c r="S34" s="263">
        <f>SUM(P34:R34)</f>
        <v>18.100000000000001</v>
      </c>
      <c r="T34" s="263"/>
      <c r="U34" s="266">
        <f>S34+T34</f>
        <v>18.100000000000001</v>
      </c>
      <c r="V34" s="275" t="s">
        <v>52</v>
      </c>
      <c r="W34" s="267">
        <v>50</v>
      </c>
      <c r="X34" s="267"/>
      <c r="Y34" s="263">
        <f>SUM(V34:X34)</f>
        <v>50</v>
      </c>
      <c r="Z34" s="263"/>
      <c r="AA34" s="266">
        <f>Y34+Z34</f>
        <v>50</v>
      </c>
      <c r="AB34" s="232">
        <f>(AA34/O34)</f>
        <v>1.25</v>
      </c>
      <c r="AC34" s="178"/>
      <c r="AD34" s="178"/>
    </row>
    <row r="35" spans="1:30" x14ac:dyDescent="0.25">
      <c r="A35" s="180"/>
      <c r="B35" s="274" t="s">
        <v>43</v>
      </c>
      <c r="C35" s="273" t="s">
        <v>42</v>
      </c>
      <c r="D35" s="433">
        <v>56.4</v>
      </c>
      <c r="E35" s="267">
        <v>8979.9</v>
      </c>
      <c r="F35" s="267">
        <v>13.2</v>
      </c>
      <c r="G35" s="263">
        <f>SUM(D35:F35)</f>
        <v>9049.5</v>
      </c>
      <c r="H35" s="263"/>
      <c r="I35" s="266">
        <f>G35+H35</f>
        <v>9049.5</v>
      </c>
      <c r="J35" s="275">
        <v>68</v>
      </c>
      <c r="K35" s="267">
        <v>8746</v>
      </c>
      <c r="L35" s="267"/>
      <c r="M35" s="263">
        <f>SUM(J35:L35)</f>
        <v>8814</v>
      </c>
      <c r="N35" s="263"/>
      <c r="O35" s="266">
        <f>M35+N35</f>
        <v>8814</v>
      </c>
      <c r="P35" s="275">
        <v>34.299999999999997</v>
      </c>
      <c r="Q35" s="267">
        <v>4370.8</v>
      </c>
      <c r="R35" s="267">
        <v>46</v>
      </c>
      <c r="S35" s="263">
        <f>SUM(P35:R35)</f>
        <v>4451.1000000000004</v>
      </c>
      <c r="T35" s="263"/>
      <c r="U35" s="266">
        <f>S35+T35</f>
        <v>4451.1000000000004</v>
      </c>
      <c r="V35" s="275">
        <v>44.9</v>
      </c>
      <c r="W35" s="267">
        <v>10610.4</v>
      </c>
      <c r="X35" s="267"/>
      <c r="Y35" s="263">
        <f>SUM(V35:X35)</f>
        <v>10655.3</v>
      </c>
      <c r="Z35" s="263"/>
      <c r="AA35" s="266">
        <f>Y35+Z35</f>
        <v>10655.3</v>
      </c>
      <c r="AB35" s="232">
        <f>(AA35/O35)</f>
        <v>1.2089062854549579</v>
      </c>
      <c r="AC35" s="178"/>
      <c r="AD35" s="178"/>
    </row>
    <row r="36" spans="1:30" x14ac:dyDescent="0.25">
      <c r="A36" s="180"/>
      <c r="B36" s="274" t="s">
        <v>41</v>
      </c>
      <c r="C36" s="273" t="s">
        <v>40</v>
      </c>
      <c r="D36" s="267" t="s">
        <v>52</v>
      </c>
      <c r="E36" s="267"/>
      <c r="F36" s="267"/>
      <c r="G36" s="263">
        <f>SUM(D36:F36)</f>
        <v>0</v>
      </c>
      <c r="H36" s="263"/>
      <c r="I36" s="266">
        <f>G36+H36</f>
        <v>0</v>
      </c>
      <c r="J36" s="268"/>
      <c r="K36" s="267"/>
      <c r="L36" s="267"/>
      <c r="M36" s="263">
        <f>SUM(J36:L36)</f>
        <v>0</v>
      </c>
      <c r="N36" s="263"/>
      <c r="O36" s="266">
        <f>M36+N36</f>
        <v>0</v>
      </c>
      <c r="P36" s="268"/>
      <c r="Q36" s="267"/>
      <c r="R36" s="267"/>
      <c r="S36" s="263">
        <f>SUM(P36:R36)</f>
        <v>0</v>
      </c>
      <c r="T36" s="263"/>
      <c r="U36" s="266">
        <f>S36+T36</f>
        <v>0</v>
      </c>
      <c r="V36" s="268"/>
      <c r="W36" s="267"/>
      <c r="X36" s="267"/>
      <c r="Y36" s="263">
        <f>SUM(V36:X36)</f>
        <v>0</v>
      </c>
      <c r="Z36" s="263"/>
      <c r="AA36" s="266">
        <f>Y36+Z36</f>
        <v>0</v>
      </c>
      <c r="AB36" s="232" t="e">
        <f>(AA36/O36)</f>
        <v>#DIV/0!</v>
      </c>
      <c r="AC36" s="178"/>
      <c r="AD36" s="178"/>
    </row>
    <row r="37" spans="1:30" x14ac:dyDescent="0.25">
      <c r="A37" s="180"/>
      <c r="B37" s="274" t="s">
        <v>39</v>
      </c>
      <c r="C37" s="273" t="s">
        <v>38</v>
      </c>
      <c r="D37" s="267">
        <v>564.5</v>
      </c>
      <c r="E37" s="267"/>
      <c r="F37" s="267">
        <v>424.9</v>
      </c>
      <c r="G37" s="263">
        <f>SUM(D37:F37)</f>
        <v>989.4</v>
      </c>
      <c r="H37" s="263"/>
      <c r="I37" s="266">
        <f>G37+H37</f>
        <v>989.4</v>
      </c>
      <c r="J37" s="268">
        <v>712</v>
      </c>
      <c r="K37" s="267"/>
      <c r="L37" s="267"/>
      <c r="M37" s="263">
        <f>SUM(J37:L37)</f>
        <v>712</v>
      </c>
      <c r="N37" s="263"/>
      <c r="O37" s="266">
        <f>M37+N37</f>
        <v>712</v>
      </c>
      <c r="P37" s="268">
        <v>301.89999999999998</v>
      </c>
      <c r="Q37" s="267"/>
      <c r="R37" s="267">
        <v>509.7</v>
      </c>
      <c r="S37" s="263">
        <f>SUM(P37:R37)</f>
        <v>811.59999999999991</v>
      </c>
      <c r="T37" s="263"/>
      <c r="U37" s="266">
        <f>S37+T37</f>
        <v>811.59999999999991</v>
      </c>
      <c r="V37" s="268">
        <v>633</v>
      </c>
      <c r="W37" s="267"/>
      <c r="X37" s="267">
        <v>977</v>
      </c>
      <c r="Y37" s="263">
        <f>SUM(V37:X37)</f>
        <v>1610</v>
      </c>
      <c r="Z37" s="263"/>
      <c r="AA37" s="266">
        <f>Y37+Z37</f>
        <v>1610</v>
      </c>
      <c r="AB37" s="232">
        <f>(AA37/O37)</f>
        <v>2.2612359550561796</v>
      </c>
      <c r="AC37" s="178"/>
      <c r="AD37" s="178"/>
    </row>
    <row r="38" spans="1:30" ht="15.75" thickBot="1" x14ac:dyDescent="0.3">
      <c r="A38" s="180"/>
      <c r="B38" s="265" t="s">
        <v>37</v>
      </c>
      <c r="C38" s="264" t="s">
        <v>36</v>
      </c>
      <c r="D38" s="257">
        <v>785.3</v>
      </c>
      <c r="E38" s="257">
        <v>1606</v>
      </c>
      <c r="F38" s="257">
        <v>47.5</v>
      </c>
      <c r="G38" s="263">
        <f>SUM(D38:F38)</f>
        <v>2438.8000000000002</v>
      </c>
      <c r="H38" s="256"/>
      <c r="I38" s="255">
        <f>G38+H38</f>
        <v>2438.8000000000002</v>
      </c>
      <c r="J38" s="258">
        <v>482</v>
      </c>
      <c r="K38" s="257">
        <v>734</v>
      </c>
      <c r="L38" s="257"/>
      <c r="M38" s="256">
        <f>SUM(J38:L38)</f>
        <v>1216</v>
      </c>
      <c r="N38" s="256"/>
      <c r="O38" s="255">
        <f>M38+N38</f>
        <v>1216</v>
      </c>
      <c r="P38" s="258">
        <v>197.1</v>
      </c>
      <c r="Q38" s="257">
        <v>498.4</v>
      </c>
      <c r="R38" s="257">
        <v>2.7</v>
      </c>
      <c r="S38" s="256">
        <f>SUM(P38:R38)</f>
        <v>698.2</v>
      </c>
      <c r="T38" s="256"/>
      <c r="U38" s="255">
        <f>S38+T38</f>
        <v>698.2</v>
      </c>
      <c r="V38" s="258">
        <v>269.60000000000002</v>
      </c>
      <c r="W38" s="257">
        <v>1002.1</v>
      </c>
      <c r="X38" s="257">
        <v>300</v>
      </c>
      <c r="Y38" s="256">
        <f>SUM(V38:X38)</f>
        <v>1571.7</v>
      </c>
      <c r="Z38" s="256"/>
      <c r="AA38" s="255">
        <f>Y38+Z38</f>
        <v>1571.7</v>
      </c>
      <c r="AB38" s="254">
        <f>(AA38/O38)</f>
        <v>1.2925164473684212</v>
      </c>
      <c r="AC38" s="178"/>
      <c r="AD38" s="178"/>
    </row>
    <row r="39" spans="1:30" ht="15.75" thickBot="1" x14ac:dyDescent="0.3">
      <c r="A39" s="180"/>
      <c r="B39" s="253" t="s">
        <v>35</v>
      </c>
      <c r="C39" s="252" t="s">
        <v>34</v>
      </c>
      <c r="D39" s="251">
        <f>SUM(D35:D38)+SUM(D28:D32)</f>
        <v>5632.7</v>
      </c>
      <c r="E39" s="251">
        <f>SUM(E35:E38)+SUM(E28:E32)</f>
        <v>37790.199999999997</v>
      </c>
      <c r="F39" s="251">
        <f>SUM(F35:F38)+SUM(F28:F32)</f>
        <v>1642.6</v>
      </c>
      <c r="G39" s="250">
        <f>SUM(D39:F39)</f>
        <v>45065.499999999993</v>
      </c>
      <c r="H39" s="249">
        <f>SUM(H28:H32)+SUM(H35:H38)</f>
        <v>36.200000000000003</v>
      </c>
      <c r="I39" s="248">
        <f>SUM(I35:I38)+SUM(I28:I32)</f>
        <v>45101.7</v>
      </c>
      <c r="J39" s="251">
        <f>SUM(J35:J38)+SUM(J28:J32)</f>
        <v>6781.5</v>
      </c>
      <c r="K39" s="251">
        <f>SUM(K35:K38)+SUM(K28:K32)</f>
        <v>35727</v>
      </c>
      <c r="L39" s="251">
        <f>SUM(L35:L38)+SUM(L28:L32)</f>
        <v>1850</v>
      </c>
      <c r="M39" s="250">
        <f>SUM(J39:L39)</f>
        <v>44358.5</v>
      </c>
      <c r="N39" s="249">
        <f>SUM(N28:N32)+SUM(N35:N38)</f>
        <v>60</v>
      </c>
      <c r="O39" s="248">
        <f>SUM(O35:O38)+SUM(O28:O32)</f>
        <v>44418.5</v>
      </c>
      <c r="P39" s="251">
        <f>SUM(P35:P38)+SUM(P28:P32)</f>
        <v>2825.6000000000004</v>
      </c>
      <c r="Q39" s="251">
        <f>SUM(Q35:Q38)+SUM(Q28:Q32)</f>
        <v>17815.2</v>
      </c>
      <c r="R39" s="251">
        <f>SUM(R35:R38)+SUM(R28:R32)</f>
        <v>1448.1</v>
      </c>
      <c r="S39" s="250">
        <f>SUM(P39:R39)</f>
        <v>22088.9</v>
      </c>
      <c r="T39" s="249">
        <f>SUM(T28:T32)+SUM(T35:T38)</f>
        <v>3.5</v>
      </c>
      <c r="U39" s="248">
        <f>SUM(U35:U38)+SUM(U28:U32)</f>
        <v>22092.400000000001</v>
      </c>
      <c r="V39" s="251">
        <f>SUM(V35:V38)+SUM(V28:V32)</f>
        <v>6666.2</v>
      </c>
      <c r="W39" s="251">
        <f>SUM(W35:W38)+SUM(W28:W32)</f>
        <v>41453.5</v>
      </c>
      <c r="X39" s="251">
        <f>SUM(X35:X38)+SUM(X28:X32)</f>
        <v>3297</v>
      </c>
      <c r="Y39" s="250">
        <f>SUM(V39:X39)</f>
        <v>51416.7</v>
      </c>
      <c r="Z39" s="249">
        <f>SUM(Z28:Z32)+SUM(Z35:Z38)</f>
        <v>60</v>
      </c>
      <c r="AA39" s="248">
        <f>SUM(AA35:AA38)+SUM(AA28:AA32)</f>
        <v>51476.7</v>
      </c>
      <c r="AB39" s="247">
        <f>(AA39/O39)</f>
        <v>1.1589022591938043</v>
      </c>
      <c r="AC39" s="178"/>
      <c r="AD39" s="178"/>
    </row>
    <row r="40" spans="1:30" ht="19.5" thickBot="1" x14ac:dyDescent="0.35">
      <c r="A40" s="180"/>
      <c r="B40" s="246" t="s">
        <v>33</v>
      </c>
      <c r="C40" s="245" t="s">
        <v>32</v>
      </c>
      <c r="D40" s="244">
        <f>D24-D39</f>
        <v>340.59999999999945</v>
      </c>
      <c r="E40" s="244">
        <f>E24-E39</f>
        <v>0</v>
      </c>
      <c r="F40" s="244">
        <f>F24-F39</f>
        <v>68.000000000000455</v>
      </c>
      <c r="G40" s="243">
        <f>G24-G39</f>
        <v>408.60000000000582</v>
      </c>
      <c r="H40" s="243">
        <f>H24-H39</f>
        <v>81.099999999999994</v>
      </c>
      <c r="I40" s="242">
        <f>I24-I39</f>
        <v>489.69999999999709</v>
      </c>
      <c r="J40" s="244">
        <f>J24-J39</f>
        <v>-350</v>
      </c>
      <c r="K40" s="244">
        <f>K24-K39</f>
        <v>0</v>
      </c>
      <c r="L40" s="244">
        <f>L24-L39</f>
        <v>200</v>
      </c>
      <c r="M40" s="243">
        <f>M24-M39</f>
        <v>-150</v>
      </c>
      <c r="N40" s="243">
        <f>N24-N39</f>
        <v>150</v>
      </c>
      <c r="O40" s="242">
        <f>O24-O39</f>
        <v>0</v>
      </c>
      <c r="P40" s="244">
        <f>P24-P39</f>
        <v>378.5</v>
      </c>
      <c r="Q40" s="244">
        <f>Q24-Q39</f>
        <v>0</v>
      </c>
      <c r="R40" s="244">
        <f>R24-R39</f>
        <v>157.09999999999991</v>
      </c>
      <c r="S40" s="243">
        <f>S24-S39</f>
        <v>535.60000000000218</v>
      </c>
      <c r="T40" s="243">
        <f>T24-T39</f>
        <v>16.5</v>
      </c>
      <c r="U40" s="242">
        <f>U24-U39</f>
        <v>552.10000000000218</v>
      </c>
      <c r="V40" s="244">
        <f>V24-V39</f>
        <v>-200</v>
      </c>
      <c r="W40" s="244">
        <f>W24-W39</f>
        <v>0</v>
      </c>
      <c r="X40" s="244">
        <f>X24-X39</f>
        <v>50</v>
      </c>
      <c r="Y40" s="243">
        <f>Y24-Y39</f>
        <v>-150</v>
      </c>
      <c r="Z40" s="243">
        <f>Z24-Z39</f>
        <v>150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-5200.2000000000025</v>
      </c>
      <c r="J41" s="237"/>
      <c r="K41" s="236"/>
      <c r="L41" s="236"/>
      <c r="M41" s="235"/>
      <c r="N41" s="234"/>
      <c r="O41" s="233">
        <f>O40-J16</f>
        <v>-5995</v>
      </c>
      <c r="P41" s="237"/>
      <c r="Q41" s="236"/>
      <c r="R41" s="236"/>
      <c r="S41" s="235"/>
      <c r="T41" s="234"/>
      <c r="U41" s="233">
        <f>U40-P16</f>
        <v>-2389.199999999998</v>
      </c>
      <c r="V41" s="237"/>
      <c r="W41" s="236"/>
      <c r="X41" s="236"/>
      <c r="Y41" s="235"/>
      <c r="Z41" s="234"/>
      <c r="AA41" s="233">
        <f>AA40-V16</f>
        <v>-6190</v>
      </c>
      <c r="AB41" s="232">
        <f>(AA41/O41)</f>
        <v>1.0325271059216012</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394</v>
      </c>
      <c r="E44" s="225">
        <v>393.9</v>
      </c>
      <c r="F44" s="224">
        <v>0</v>
      </c>
      <c r="G44" s="202"/>
      <c r="H44" s="202"/>
      <c r="I44" s="201"/>
      <c r="J44" s="214">
        <v>469</v>
      </c>
      <c r="K44" s="225">
        <v>469</v>
      </c>
      <c r="L44" s="224">
        <v>0</v>
      </c>
      <c r="M44" s="223"/>
      <c r="N44" s="223"/>
      <c r="O44" s="223"/>
      <c r="P44" s="214">
        <v>477.6</v>
      </c>
      <c r="Q44" s="225">
        <v>477.6</v>
      </c>
      <c r="R44" s="224">
        <v>238</v>
      </c>
      <c r="S44" s="178"/>
      <c r="T44" s="178"/>
      <c r="U44" s="178"/>
      <c r="V44" s="214">
        <v>476.7</v>
      </c>
      <c r="W44" s="225">
        <v>476.7</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210</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D50+E50-F50</f>
        <v>0</v>
      </c>
      <c r="H50" s="202"/>
      <c r="I50" s="178"/>
      <c r="J50" s="210"/>
      <c r="K50" s="210"/>
      <c r="L50" s="210"/>
      <c r="M50" s="209">
        <f>J50+K50-L50</f>
        <v>0</v>
      </c>
      <c r="N50" s="178"/>
      <c r="O50" s="178"/>
      <c r="P50" s="210"/>
      <c r="Q50" s="210"/>
      <c r="R50" s="210"/>
      <c r="S50" s="209">
        <f>P50+Q50-R50</f>
        <v>0</v>
      </c>
      <c r="T50" s="178"/>
      <c r="U50" s="178"/>
      <c r="V50" s="210"/>
      <c r="W50" s="210"/>
      <c r="X50" s="210"/>
      <c r="Y50" s="209">
        <f>V50+W50-X50</f>
        <v>0</v>
      </c>
      <c r="Z50" s="178"/>
      <c r="AA50" s="178"/>
      <c r="AB50" s="178"/>
      <c r="AC50" s="178"/>
      <c r="AD50" s="178"/>
    </row>
    <row r="51" spans="1:30" x14ac:dyDescent="0.25">
      <c r="A51" s="180"/>
      <c r="B51" s="204"/>
      <c r="C51" s="206" t="s">
        <v>15</v>
      </c>
      <c r="D51" s="210">
        <v>1459.6</v>
      </c>
      <c r="E51" s="210">
        <v>342.7</v>
      </c>
      <c r="F51" s="210">
        <v>983.3</v>
      </c>
      <c r="G51" s="209">
        <f>D51+E51-F51</f>
        <v>819</v>
      </c>
      <c r="H51" s="202"/>
      <c r="I51" s="178"/>
      <c r="J51" s="210">
        <v>290</v>
      </c>
      <c r="K51" s="210">
        <v>20</v>
      </c>
      <c r="L51" s="210">
        <v>100</v>
      </c>
      <c r="M51" s="209">
        <f>J51+K51-L51</f>
        <v>210</v>
      </c>
      <c r="N51" s="178"/>
      <c r="O51" s="178"/>
      <c r="P51" s="210">
        <v>819</v>
      </c>
      <c r="Q51" s="210">
        <v>392</v>
      </c>
      <c r="R51" s="210">
        <v>201</v>
      </c>
      <c r="S51" s="209">
        <f>P51+Q51-R51</f>
        <v>1010</v>
      </c>
      <c r="T51" s="178"/>
      <c r="U51" s="178"/>
      <c r="V51" s="210">
        <v>750</v>
      </c>
      <c r="W51" s="210">
        <v>50</v>
      </c>
      <c r="X51" s="210">
        <v>300</v>
      </c>
      <c r="Y51" s="209">
        <f>V51+W51-X51</f>
        <v>500</v>
      </c>
      <c r="Z51" s="178"/>
      <c r="AA51" s="178"/>
      <c r="AB51" s="178"/>
      <c r="AC51" s="178"/>
      <c r="AD51" s="178"/>
    </row>
    <row r="52" spans="1:30" x14ac:dyDescent="0.25">
      <c r="A52" s="180"/>
      <c r="B52" s="204"/>
      <c r="C52" s="206" t="s">
        <v>14</v>
      </c>
      <c r="D52" s="210">
        <v>282.60000000000002</v>
      </c>
      <c r="E52" s="210">
        <v>564.5</v>
      </c>
      <c r="F52" s="210">
        <v>393.9</v>
      </c>
      <c r="G52" s="209">
        <f>D52+E52-F52</f>
        <v>453.20000000000005</v>
      </c>
      <c r="H52" s="202"/>
      <c r="I52" s="178"/>
      <c r="J52" s="210">
        <v>453</v>
      </c>
      <c r="K52" s="210">
        <v>712</v>
      </c>
      <c r="L52" s="210">
        <v>850</v>
      </c>
      <c r="M52" s="209">
        <f>J52+K52-L52</f>
        <v>315</v>
      </c>
      <c r="N52" s="178"/>
      <c r="O52" s="178"/>
      <c r="P52" s="210">
        <v>453.2</v>
      </c>
      <c r="Q52" s="210">
        <v>301</v>
      </c>
      <c r="R52" s="210">
        <v>238</v>
      </c>
      <c r="S52" s="209">
        <f>P52+Q52-R52</f>
        <v>516.20000000000005</v>
      </c>
      <c r="T52" s="178"/>
      <c r="U52" s="178"/>
      <c r="V52" s="210">
        <v>125</v>
      </c>
      <c r="W52" s="210">
        <v>633</v>
      </c>
      <c r="X52" s="210">
        <v>400</v>
      </c>
      <c r="Y52" s="209">
        <f>V52+W52-X52</f>
        <v>358</v>
      </c>
      <c r="Z52" s="178"/>
      <c r="AA52" s="178"/>
      <c r="AB52" s="178"/>
      <c r="AC52" s="178"/>
      <c r="AD52" s="178"/>
    </row>
    <row r="53" spans="1:30" x14ac:dyDescent="0.25">
      <c r="A53" s="180"/>
      <c r="B53" s="204"/>
      <c r="C53" s="206" t="s">
        <v>13</v>
      </c>
      <c r="D53" s="210">
        <v>228.5</v>
      </c>
      <c r="E53" s="210">
        <v>0</v>
      </c>
      <c r="F53" s="210">
        <v>3.9</v>
      </c>
      <c r="G53" s="209">
        <f>D53+E53-F53</f>
        <v>224.6</v>
      </c>
      <c r="H53" s="202"/>
      <c r="I53" s="178"/>
      <c r="J53" s="210">
        <v>200</v>
      </c>
      <c r="K53" s="210">
        <v>0</v>
      </c>
      <c r="L53" s="210">
        <v>20</v>
      </c>
      <c r="M53" s="209">
        <f>J53+K53-L53</f>
        <v>180</v>
      </c>
      <c r="N53" s="178"/>
      <c r="O53" s="178"/>
      <c r="P53" s="210">
        <v>224.6</v>
      </c>
      <c r="Q53" s="210">
        <v>98</v>
      </c>
      <c r="R53" s="210">
        <v>0</v>
      </c>
      <c r="S53" s="209">
        <f>P53+Q53-R53</f>
        <v>322.60000000000002</v>
      </c>
      <c r="T53" s="178"/>
      <c r="U53" s="178"/>
      <c r="V53" s="210">
        <v>300</v>
      </c>
      <c r="W53" s="210">
        <v>0</v>
      </c>
      <c r="X53" s="210">
        <v>20</v>
      </c>
      <c r="Y53" s="209">
        <f>V53+W53-X53</f>
        <v>280</v>
      </c>
      <c r="Z53" s="178"/>
      <c r="AA53" s="178"/>
      <c r="AB53" s="178"/>
      <c r="AC53" s="178"/>
      <c r="AD53" s="178"/>
    </row>
    <row r="54" spans="1:30" x14ac:dyDescent="0.25">
      <c r="A54" s="180"/>
      <c r="B54" s="204"/>
      <c r="C54" s="212" t="s">
        <v>12</v>
      </c>
      <c r="D54" s="210">
        <v>154</v>
      </c>
      <c r="E54" s="210">
        <v>539.20000000000005</v>
      </c>
      <c r="F54" s="210">
        <v>415.4</v>
      </c>
      <c r="G54" s="209">
        <f>D54+E54-F54</f>
        <v>277.80000000000007</v>
      </c>
      <c r="H54" s="202"/>
      <c r="I54" s="178"/>
      <c r="J54" s="210">
        <v>50</v>
      </c>
      <c r="K54" s="210">
        <v>516</v>
      </c>
      <c r="L54" s="210">
        <v>480</v>
      </c>
      <c r="M54" s="209">
        <f>J54+K54-L54</f>
        <v>86</v>
      </c>
      <c r="N54" s="178"/>
      <c r="O54" s="178"/>
      <c r="P54" s="210">
        <v>278</v>
      </c>
      <c r="Q54" s="210">
        <v>264</v>
      </c>
      <c r="R54" s="210">
        <v>251</v>
      </c>
      <c r="S54" s="209">
        <f>P54+Q54-R54</f>
        <v>291</v>
      </c>
      <c r="T54" s="178"/>
      <c r="U54" s="178"/>
      <c r="V54" s="210">
        <v>50</v>
      </c>
      <c r="W54" s="210">
        <v>590</v>
      </c>
      <c r="X54" s="210">
        <v>560</v>
      </c>
      <c r="Y54" s="209">
        <f>V54+W54-X54</f>
        <v>80</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58</v>
      </c>
      <c r="E57" s="205">
        <v>60.8</v>
      </c>
      <c r="F57" s="202"/>
      <c r="G57" s="202"/>
      <c r="H57" s="202"/>
      <c r="I57" s="201"/>
      <c r="J57" s="205">
        <v>60</v>
      </c>
      <c r="K57" s="202"/>
      <c r="L57" s="202"/>
      <c r="M57" s="202"/>
      <c r="N57" s="202"/>
      <c r="O57" s="201"/>
      <c r="P57" s="205">
        <v>60.6</v>
      </c>
      <c r="Q57" s="201"/>
      <c r="R57" s="201"/>
      <c r="S57" s="201"/>
      <c r="T57" s="201"/>
      <c r="U57" s="201"/>
      <c r="V57" s="205">
        <v>60</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t="s">
        <v>209</v>
      </c>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t="s">
        <v>208</v>
      </c>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44438</v>
      </c>
      <c r="D91" s="179" t="s">
        <v>4</v>
      </c>
      <c r="E91" s="184" t="s">
        <v>207</v>
      </c>
      <c r="F91" s="184"/>
      <c r="G91" s="184"/>
      <c r="H91" s="179"/>
      <c r="I91" s="179" t="s">
        <v>2</v>
      </c>
      <c r="J91" s="183" t="s">
        <v>206</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5">
    <mergeCell ref="V10:AA10"/>
    <mergeCell ref="V25:AA25"/>
    <mergeCell ref="Y13:Y14"/>
    <mergeCell ref="Z13:Z14"/>
    <mergeCell ref="AB25:AB27"/>
    <mergeCell ref="V26:X26"/>
    <mergeCell ref="AA26:AA27"/>
    <mergeCell ref="AB10:AB14"/>
    <mergeCell ref="V11:Y11"/>
    <mergeCell ref="V12:AA12"/>
    <mergeCell ref="V13:X13"/>
    <mergeCell ref="AA13:AA14"/>
    <mergeCell ref="Y26:Y27"/>
    <mergeCell ref="Z26:Z27"/>
    <mergeCell ref="S13:S14"/>
    <mergeCell ref="T13:T14"/>
    <mergeCell ref="U13:U14"/>
    <mergeCell ref="P25:U25"/>
    <mergeCell ref="P26:R26"/>
    <mergeCell ref="S26:S27"/>
    <mergeCell ref="T26:T27"/>
    <mergeCell ref="U26:U27"/>
    <mergeCell ref="D12:I12"/>
    <mergeCell ref="D10:I10"/>
    <mergeCell ref="D11:G11"/>
    <mergeCell ref="C10:C13"/>
    <mergeCell ref="D13:F13"/>
    <mergeCell ref="H26:H27"/>
    <mergeCell ref="I26:I27"/>
    <mergeCell ref="H13:H14"/>
    <mergeCell ref="E91:G91"/>
    <mergeCell ref="J91:M91"/>
    <mergeCell ref="B63:U63"/>
    <mergeCell ref="B82:U82"/>
    <mergeCell ref="D4:U4"/>
    <mergeCell ref="D8:U8"/>
    <mergeCell ref="C43:C44"/>
    <mergeCell ref="C46:C47"/>
    <mergeCell ref="C26:C27"/>
    <mergeCell ref="B62:U62"/>
    <mergeCell ref="D59:U59"/>
    <mergeCell ref="B61:U61"/>
    <mergeCell ref="B26:B27"/>
    <mergeCell ref="O13:O14"/>
    <mergeCell ref="J25:O25"/>
    <mergeCell ref="J26:L26"/>
    <mergeCell ref="M26:M27"/>
    <mergeCell ref="N26:N27"/>
    <mergeCell ref="O26:O27"/>
    <mergeCell ref="I13:I14"/>
    <mergeCell ref="D25:I25"/>
    <mergeCell ref="D26:F26"/>
    <mergeCell ref="G26:G27"/>
    <mergeCell ref="B10:B13"/>
    <mergeCell ref="P10:U10"/>
    <mergeCell ref="P11:S11"/>
    <mergeCell ref="P12:U12"/>
    <mergeCell ref="P13:R13"/>
    <mergeCell ref="G13:G14"/>
    <mergeCell ref="J10:O10"/>
    <mergeCell ref="J11:M11"/>
    <mergeCell ref="J12:O12"/>
    <mergeCell ref="J13:L13"/>
    <mergeCell ref="M13:M14"/>
    <mergeCell ref="N13:N14"/>
  </mergeCells>
  <conditionalFormatting sqref="AB15:AB25">
    <cfRule type="cellIs" dxfId="35" priority="3" operator="equal">
      <formula>0</formula>
    </cfRule>
    <cfRule type="containsErrors" dxfId="34" priority="4">
      <formula>ISERROR(AB15)</formula>
    </cfRule>
  </conditionalFormatting>
  <conditionalFormatting sqref="AB28:AB41">
    <cfRule type="cellIs" dxfId="33" priority="1" operator="equal">
      <formula>0</formula>
    </cfRule>
    <cfRule type="containsErrors" dxfId="32" priority="2">
      <formula>ISERROR(AB28)</formula>
    </cfRule>
  </conditionalFormatting>
  <pageMargins left="0.70866141732283472" right="0.70866141732283472" top="0.78740157480314965" bottom="0.78740157480314965" header="0.31496062992125984" footer="0.31496062992125984"/>
  <pageSetup paperSize="8" scale="4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278"/>
  <sheetViews>
    <sheetView showGridLines="0" zoomScale="80" zoomScaleNormal="80" zoomScaleSheetLayoutView="80" workbookViewId="0">
      <selection activeCell="F46" sqref="F46"/>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248</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46789731</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247</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1037.731</v>
      </c>
      <c r="G15" s="366">
        <f>SUM(D15:F15)</f>
        <v>1037.731</v>
      </c>
      <c r="H15" s="352">
        <v>5.5E-2</v>
      </c>
      <c r="I15" s="266">
        <f>G15+H15</f>
        <v>1037.7860000000001</v>
      </c>
      <c r="J15" s="369"/>
      <c r="K15" s="368"/>
      <c r="L15" s="367">
        <v>2105</v>
      </c>
      <c r="M15" s="366">
        <f>SUM(J15:L15)</f>
        <v>2105</v>
      </c>
      <c r="N15" s="352">
        <v>0</v>
      </c>
      <c r="O15" s="266">
        <f>M15+N15</f>
        <v>2105</v>
      </c>
      <c r="P15" s="369"/>
      <c r="Q15" s="368"/>
      <c r="R15" s="367">
        <v>520.15</v>
      </c>
      <c r="S15" s="366">
        <f>SUM(P15:R15)</f>
        <v>520.15</v>
      </c>
      <c r="T15" s="352">
        <v>0</v>
      </c>
      <c r="U15" s="266">
        <f>S15+T15</f>
        <v>520.15</v>
      </c>
      <c r="V15" s="369"/>
      <c r="W15" s="368"/>
      <c r="X15" s="367">
        <v>1950</v>
      </c>
      <c r="Y15" s="366">
        <f>SUM(V15:X15)</f>
        <v>1950</v>
      </c>
      <c r="Z15" s="352">
        <v>0</v>
      </c>
      <c r="AA15" s="266">
        <f>Y15+Z15</f>
        <v>1950</v>
      </c>
      <c r="AB15" s="232">
        <f>(AA15/O15)</f>
        <v>0.92636579572446553</v>
      </c>
      <c r="AC15" s="178"/>
      <c r="AD15" s="178"/>
    </row>
    <row r="16" spans="1:30" x14ac:dyDescent="0.25">
      <c r="A16" s="180"/>
      <c r="B16" s="274" t="s">
        <v>86</v>
      </c>
      <c r="C16" s="361" t="s">
        <v>85</v>
      </c>
      <c r="D16" s="360">
        <v>5539.4</v>
      </c>
      <c r="E16" s="343"/>
      <c r="F16" s="343"/>
      <c r="G16" s="341">
        <f>SUM(D16:F16)</f>
        <v>5539.4</v>
      </c>
      <c r="H16" s="358"/>
      <c r="I16" s="266">
        <f>G16+H16</f>
        <v>5539.4</v>
      </c>
      <c r="J16" s="360">
        <v>5387</v>
      </c>
      <c r="K16" s="343"/>
      <c r="L16" s="343"/>
      <c r="M16" s="341">
        <f>SUM(J16:L16)</f>
        <v>5387</v>
      </c>
      <c r="N16" s="358"/>
      <c r="O16" s="266">
        <f>M16+N16</f>
        <v>5387</v>
      </c>
      <c r="P16" s="360">
        <v>2788.739</v>
      </c>
      <c r="Q16" s="343"/>
      <c r="R16" s="343"/>
      <c r="S16" s="341">
        <f>SUM(P16:R16)</f>
        <v>2788.739</v>
      </c>
      <c r="T16" s="358"/>
      <c r="U16" s="266">
        <f>S16+T16</f>
        <v>2788.739</v>
      </c>
      <c r="V16" s="360">
        <v>5660</v>
      </c>
      <c r="W16" s="343"/>
      <c r="X16" s="343"/>
      <c r="Y16" s="341">
        <f>SUM(V16:X16)</f>
        <v>5660</v>
      </c>
      <c r="Z16" s="358"/>
      <c r="AA16" s="266">
        <f>Y16+Z16</f>
        <v>5660</v>
      </c>
      <c r="AB16" s="232">
        <f>(AA16/O16)</f>
        <v>1.0506775570818638</v>
      </c>
      <c r="AC16" s="178"/>
      <c r="AD16" s="178"/>
    </row>
    <row r="17" spans="1:30" x14ac:dyDescent="0.25">
      <c r="A17" s="180"/>
      <c r="B17" s="274" t="s">
        <v>84</v>
      </c>
      <c r="C17" s="357" t="s">
        <v>83</v>
      </c>
      <c r="D17" s="356">
        <v>392.9</v>
      </c>
      <c r="E17" s="350"/>
      <c r="F17" s="350"/>
      <c r="G17" s="341">
        <f>SUM(D17:F17)</f>
        <v>392.9</v>
      </c>
      <c r="H17" s="355"/>
      <c r="I17" s="266">
        <f>G17+H17</f>
        <v>392.9</v>
      </c>
      <c r="J17" s="356">
        <v>480.4</v>
      </c>
      <c r="K17" s="350"/>
      <c r="L17" s="350"/>
      <c r="M17" s="341">
        <f>SUM(J17:L17)</f>
        <v>480.4</v>
      </c>
      <c r="N17" s="355"/>
      <c r="O17" s="266">
        <f>M17+N17</f>
        <v>480.4</v>
      </c>
      <c r="P17" s="356">
        <v>336.21</v>
      </c>
      <c r="Q17" s="350"/>
      <c r="R17" s="350"/>
      <c r="S17" s="341">
        <f>SUM(P17:R17)</f>
        <v>336.21</v>
      </c>
      <c r="T17" s="355"/>
      <c r="U17" s="266">
        <f>S17+T17</f>
        <v>336.21</v>
      </c>
      <c r="V17" s="356">
        <v>337.9</v>
      </c>
      <c r="W17" s="350"/>
      <c r="X17" s="350"/>
      <c r="Y17" s="341">
        <f>SUM(V17:X17)</f>
        <v>337.9</v>
      </c>
      <c r="Z17" s="355"/>
      <c r="AA17" s="266">
        <f>Y17+Z17</f>
        <v>337.9</v>
      </c>
      <c r="AB17" s="232">
        <f>(AA17/O17)</f>
        <v>0.7033721898417985</v>
      </c>
      <c r="AC17" s="178"/>
      <c r="AD17" s="178"/>
    </row>
    <row r="18" spans="1:30" x14ac:dyDescent="0.25">
      <c r="A18" s="180"/>
      <c r="B18" s="274" t="s">
        <v>82</v>
      </c>
      <c r="C18" s="354" t="s">
        <v>81</v>
      </c>
      <c r="D18" s="344"/>
      <c r="E18" s="353">
        <v>47026.95</v>
      </c>
      <c r="F18" s="350"/>
      <c r="G18" s="341">
        <f>SUM(D18:F18)</f>
        <v>47026.95</v>
      </c>
      <c r="H18" s="352"/>
      <c r="I18" s="266">
        <f>G18+H18</f>
        <v>47026.95</v>
      </c>
      <c r="J18" s="344"/>
      <c r="K18" s="353">
        <v>47689.462</v>
      </c>
      <c r="L18" s="350"/>
      <c r="M18" s="341">
        <f>SUM(J18:L18)</f>
        <v>47689.462</v>
      </c>
      <c r="N18" s="352"/>
      <c r="O18" s="266">
        <f>M18+N18</f>
        <v>47689.462</v>
      </c>
      <c r="P18" s="344"/>
      <c r="Q18" s="353">
        <v>21876.573</v>
      </c>
      <c r="R18" s="350"/>
      <c r="S18" s="341">
        <f>SUM(P18:R18)</f>
        <v>21876.573</v>
      </c>
      <c r="T18" s="352"/>
      <c r="U18" s="266">
        <f>S18+T18</f>
        <v>21876.573</v>
      </c>
      <c r="V18" s="344"/>
      <c r="W18" s="353">
        <v>48362</v>
      </c>
      <c r="X18" s="350"/>
      <c r="Y18" s="341">
        <f>SUM(V18:X18)</f>
        <v>48362</v>
      </c>
      <c r="Z18" s="352"/>
      <c r="AA18" s="266">
        <f>Y18+Z18</f>
        <v>48362</v>
      </c>
      <c r="AB18" s="232">
        <f>(AA18/O18)</f>
        <v>1.0141024446868367</v>
      </c>
      <c r="AC18" s="178"/>
      <c r="AD18" s="178"/>
    </row>
    <row r="19" spans="1:30" x14ac:dyDescent="0.25">
      <c r="A19" s="180"/>
      <c r="B19" s="274" t="s">
        <v>80</v>
      </c>
      <c r="C19" s="280" t="s">
        <v>79</v>
      </c>
      <c r="D19" s="351"/>
      <c r="E19" s="350"/>
      <c r="F19" s="347">
        <v>678.36199999999997</v>
      </c>
      <c r="G19" s="341">
        <f>SUM(D19:F19)</f>
        <v>678.36199999999997</v>
      </c>
      <c r="H19" s="345"/>
      <c r="I19" s="266">
        <f>G19+H19</f>
        <v>678.36199999999997</v>
      </c>
      <c r="J19" s="351"/>
      <c r="K19" s="350"/>
      <c r="L19" s="347">
        <v>1446.982</v>
      </c>
      <c r="M19" s="341">
        <f>SUM(J19:L19)</f>
        <v>1446.982</v>
      </c>
      <c r="N19" s="345"/>
      <c r="O19" s="266">
        <f>M19+N19</f>
        <v>1446.982</v>
      </c>
      <c r="P19" s="351"/>
      <c r="Q19" s="350"/>
      <c r="R19" s="347">
        <v>723.44</v>
      </c>
      <c r="S19" s="341">
        <f>SUM(P19:R19)</f>
        <v>723.44</v>
      </c>
      <c r="T19" s="345"/>
      <c r="U19" s="266">
        <f>S19+T19</f>
        <v>723.44</v>
      </c>
      <c r="V19" s="351"/>
      <c r="W19" s="350"/>
      <c r="X19" s="347">
        <v>1446.88</v>
      </c>
      <c r="Y19" s="341">
        <f>SUM(V19:X19)</f>
        <v>1446.88</v>
      </c>
      <c r="Z19" s="345"/>
      <c r="AA19" s="266">
        <f>Y19+Z19</f>
        <v>1446.88</v>
      </c>
      <c r="AB19" s="232">
        <f>(AA19/O19)</f>
        <v>0.99992950845276596</v>
      </c>
      <c r="AC19" s="178"/>
      <c r="AD19" s="178"/>
    </row>
    <row r="20" spans="1:30" x14ac:dyDescent="0.25">
      <c r="A20" s="180"/>
      <c r="B20" s="274" t="s">
        <v>78</v>
      </c>
      <c r="C20" s="346" t="s">
        <v>77</v>
      </c>
      <c r="D20" s="344"/>
      <c r="E20" s="343"/>
      <c r="F20" s="342">
        <v>23.062999999999999</v>
      </c>
      <c r="G20" s="341">
        <f>SUM(D20:F20)</f>
        <v>23.062999999999999</v>
      </c>
      <c r="H20" s="345"/>
      <c r="I20" s="266">
        <f>G20+H20</f>
        <v>23.062999999999999</v>
      </c>
      <c r="J20" s="344"/>
      <c r="K20" s="343"/>
      <c r="L20" s="342">
        <v>200</v>
      </c>
      <c r="M20" s="341">
        <f>SUM(J20:L20)</f>
        <v>200</v>
      </c>
      <c r="N20" s="345"/>
      <c r="O20" s="266">
        <f>M20+N20</f>
        <v>200</v>
      </c>
      <c r="P20" s="344"/>
      <c r="Q20" s="343"/>
      <c r="R20" s="342"/>
      <c r="S20" s="341">
        <f>SUM(P20:R20)</f>
        <v>0</v>
      </c>
      <c r="T20" s="345"/>
      <c r="U20" s="266">
        <f>S20+T20</f>
        <v>0</v>
      </c>
      <c r="V20" s="344"/>
      <c r="W20" s="343"/>
      <c r="X20" s="342">
        <v>130</v>
      </c>
      <c r="Y20" s="341">
        <f>SUM(V20:X20)</f>
        <v>130</v>
      </c>
      <c r="Z20" s="345"/>
      <c r="AA20" s="266">
        <f>Y20+Z20</f>
        <v>130</v>
      </c>
      <c r="AB20" s="232">
        <f>(AA20/O20)</f>
        <v>0.65</v>
      </c>
      <c r="AC20" s="178"/>
      <c r="AD20" s="178"/>
    </row>
    <row r="21" spans="1:30" x14ac:dyDescent="0.25">
      <c r="A21" s="180"/>
      <c r="B21" s="274" t="s">
        <v>76</v>
      </c>
      <c r="C21" s="273" t="s">
        <v>75</v>
      </c>
      <c r="D21" s="344"/>
      <c r="E21" s="343"/>
      <c r="F21" s="342">
        <v>135.042</v>
      </c>
      <c r="G21" s="341">
        <f>SUM(D21:F21)</f>
        <v>135.042</v>
      </c>
      <c r="H21" s="336">
        <v>218.352</v>
      </c>
      <c r="I21" s="266">
        <f>G21+H21</f>
        <v>353.39400000000001</v>
      </c>
      <c r="J21" s="344"/>
      <c r="K21" s="343"/>
      <c r="L21" s="342"/>
      <c r="M21" s="341">
        <f>SUM(J21:L21)</f>
        <v>0</v>
      </c>
      <c r="N21" s="336">
        <v>120</v>
      </c>
      <c r="O21" s="266">
        <f>M21+N21</f>
        <v>120</v>
      </c>
      <c r="P21" s="344"/>
      <c r="Q21" s="343"/>
      <c r="R21" s="342">
        <v>46.337000000000003</v>
      </c>
      <c r="S21" s="341">
        <f>SUM(P21:R21)</f>
        <v>46.337000000000003</v>
      </c>
      <c r="T21" s="336">
        <v>28.056000000000001</v>
      </c>
      <c r="U21" s="266">
        <f>S21+T21</f>
        <v>74.393000000000001</v>
      </c>
      <c r="V21" s="344"/>
      <c r="W21" s="343"/>
      <c r="X21" s="342"/>
      <c r="Y21" s="341">
        <f>SUM(V21:X21)</f>
        <v>0</v>
      </c>
      <c r="Z21" s="336">
        <v>100</v>
      </c>
      <c r="AA21" s="266">
        <f>Y21+Z21</f>
        <v>100</v>
      </c>
      <c r="AB21" s="232">
        <f>(AA21/O21)</f>
        <v>0.83333333333333337</v>
      </c>
      <c r="AC21" s="178"/>
      <c r="AD21" s="178"/>
    </row>
    <row r="22" spans="1:30" x14ac:dyDescent="0.25">
      <c r="A22" s="180"/>
      <c r="B22" s="274" t="s">
        <v>74</v>
      </c>
      <c r="C22" s="273" t="s">
        <v>73</v>
      </c>
      <c r="D22" s="344"/>
      <c r="E22" s="343"/>
      <c r="F22" s="342"/>
      <c r="G22" s="341">
        <f>SUM(D22:F22)</f>
        <v>0</v>
      </c>
      <c r="H22" s="336">
        <v>218.352</v>
      </c>
      <c r="I22" s="266">
        <f>G22+H22</f>
        <v>218.352</v>
      </c>
      <c r="J22" s="344"/>
      <c r="K22" s="343"/>
      <c r="L22" s="342"/>
      <c r="M22" s="341">
        <f>SUM(J22:L22)</f>
        <v>0</v>
      </c>
      <c r="N22" s="336">
        <v>120</v>
      </c>
      <c r="O22" s="266">
        <f>M22+N22</f>
        <v>120</v>
      </c>
      <c r="P22" s="344"/>
      <c r="Q22" s="343"/>
      <c r="R22" s="342"/>
      <c r="S22" s="341">
        <f>SUM(P22:R22)</f>
        <v>0</v>
      </c>
      <c r="T22" s="336">
        <v>28.056000000000001</v>
      </c>
      <c r="U22" s="266">
        <f>S22+T22</f>
        <v>28.056000000000001</v>
      </c>
      <c r="V22" s="344"/>
      <c r="W22" s="343"/>
      <c r="X22" s="342"/>
      <c r="Y22" s="341">
        <f>SUM(V22:X22)</f>
        <v>0</v>
      </c>
      <c r="Z22" s="336">
        <v>100</v>
      </c>
      <c r="AA22" s="266">
        <f>Y22+Z22</f>
        <v>100</v>
      </c>
      <c r="AB22" s="232">
        <f>(AA22/O22)</f>
        <v>0.83333333333333337</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5932.2999999999993</v>
      </c>
      <c r="E24" s="322">
        <f>SUM(E15:E21)</f>
        <v>47026.95</v>
      </c>
      <c r="F24" s="322">
        <f>SUM(F15:F21)</f>
        <v>1874.1979999999999</v>
      </c>
      <c r="G24" s="321">
        <f>SUM(D24:F24)</f>
        <v>54833.447999999997</v>
      </c>
      <c r="H24" s="320">
        <f>SUM(H15:H21)</f>
        <v>218.40700000000001</v>
      </c>
      <c r="I24" s="320">
        <f>SUM(I15:I21)</f>
        <v>55051.854999999996</v>
      </c>
      <c r="J24" s="323">
        <f>SUM(J15:J21)</f>
        <v>5867.4</v>
      </c>
      <c r="K24" s="322">
        <f>SUM(K15:K21)</f>
        <v>47689.462</v>
      </c>
      <c r="L24" s="322">
        <f>SUM(L15:L21)</f>
        <v>3751.982</v>
      </c>
      <c r="M24" s="321">
        <f>SUM(J24:L24)</f>
        <v>57308.843999999997</v>
      </c>
      <c r="N24" s="320">
        <f>SUM(N15:N21)</f>
        <v>120</v>
      </c>
      <c r="O24" s="320">
        <f>SUM(O15:O21)</f>
        <v>57428.843999999997</v>
      </c>
      <c r="P24" s="323">
        <f>SUM(P15:P21)</f>
        <v>3124.9490000000001</v>
      </c>
      <c r="Q24" s="322">
        <f>SUM(Q15:Q21)</f>
        <v>21876.573</v>
      </c>
      <c r="R24" s="322">
        <f>SUM(R15:R21)</f>
        <v>1289.9270000000001</v>
      </c>
      <c r="S24" s="321">
        <f>SUM(P24:R24)</f>
        <v>26291.449000000001</v>
      </c>
      <c r="T24" s="320">
        <f>SUM(T15:T21)</f>
        <v>28.056000000000001</v>
      </c>
      <c r="U24" s="320">
        <f>SUM(U15:U21)</f>
        <v>26319.504999999997</v>
      </c>
      <c r="V24" s="323">
        <f>SUM(V15:V21)</f>
        <v>5997.9</v>
      </c>
      <c r="W24" s="322">
        <f>SUM(W15:W21)</f>
        <v>48362</v>
      </c>
      <c r="X24" s="322">
        <f>SUM(X15:X21)</f>
        <v>3526.88</v>
      </c>
      <c r="Y24" s="321">
        <f>SUM(V24:X24)</f>
        <v>57886.78</v>
      </c>
      <c r="Z24" s="320">
        <f>SUM(Z15:Z21)</f>
        <v>100</v>
      </c>
      <c r="AA24" s="320">
        <f>SUM(AA15:AA21)</f>
        <v>57986.78</v>
      </c>
      <c r="AB24" s="319">
        <f>(AA24/O24)</f>
        <v>1.0097152573713655</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362.55700000000002</v>
      </c>
      <c r="E28" s="287"/>
      <c r="F28" s="287"/>
      <c r="G28" s="286">
        <f>SUM(D28:F28)</f>
        <v>362.55700000000002</v>
      </c>
      <c r="H28" s="286"/>
      <c r="I28" s="285">
        <f>G28+H28</f>
        <v>362.55700000000002</v>
      </c>
      <c r="J28" s="288">
        <v>301.71600000000001</v>
      </c>
      <c r="K28" s="287"/>
      <c r="L28" s="287">
        <v>125</v>
      </c>
      <c r="M28" s="286">
        <f>SUM(J28:L28)</f>
        <v>426.71600000000001</v>
      </c>
      <c r="N28" s="286"/>
      <c r="O28" s="285">
        <f>M28+N28</f>
        <v>426.71600000000001</v>
      </c>
      <c r="P28" s="288">
        <v>18.474</v>
      </c>
      <c r="Q28" s="287"/>
      <c r="R28" s="287"/>
      <c r="S28" s="286">
        <f>SUM(P28:R28)</f>
        <v>18.474</v>
      </c>
      <c r="T28" s="286"/>
      <c r="U28" s="285">
        <f>S28+T28</f>
        <v>18.474</v>
      </c>
      <c r="V28" s="288">
        <v>120</v>
      </c>
      <c r="W28" s="287"/>
      <c r="X28" s="287"/>
      <c r="Y28" s="286">
        <f>SUM(V28:X28)</f>
        <v>120</v>
      </c>
      <c r="Z28" s="286"/>
      <c r="AA28" s="285">
        <f>Y28+Z28</f>
        <v>120</v>
      </c>
      <c r="AB28" s="232">
        <f>(AA28/O28)</f>
        <v>0.28121748422838611</v>
      </c>
      <c r="AC28" s="178"/>
      <c r="AD28" s="178"/>
    </row>
    <row r="29" spans="1:30" x14ac:dyDescent="0.25">
      <c r="A29" s="180"/>
      <c r="B29" s="274" t="s">
        <v>56</v>
      </c>
      <c r="C29" s="284" t="s">
        <v>55</v>
      </c>
      <c r="D29" s="282">
        <v>594.71199999999999</v>
      </c>
      <c r="E29" s="282">
        <v>251.93700000000001</v>
      </c>
      <c r="F29" s="282">
        <v>989.69299999999998</v>
      </c>
      <c r="G29" s="263">
        <f>SUM(D29:F29)</f>
        <v>1836.3420000000001</v>
      </c>
      <c r="H29" s="281">
        <v>14.180999999999999</v>
      </c>
      <c r="I29" s="266">
        <f>G29+H29</f>
        <v>1850.5230000000001</v>
      </c>
      <c r="J29" s="283">
        <v>493</v>
      </c>
      <c r="K29" s="282">
        <v>230</v>
      </c>
      <c r="L29" s="282">
        <v>2105</v>
      </c>
      <c r="M29" s="263">
        <f>SUM(J29:L29)</f>
        <v>2828</v>
      </c>
      <c r="N29" s="281">
        <v>40</v>
      </c>
      <c r="O29" s="266">
        <f>M29+N29</f>
        <v>2868</v>
      </c>
      <c r="P29" s="283">
        <v>285.089</v>
      </c>
      <c r="Q29" s="282">
        <v>466.03399999999999</v>
      </c>
      <c r="R29" s="282">
        <v>487.185</v>
      </c>
      <c r="S29" s="263">
        <f>SUM(P29:R29)</f>
        <v>1238.308</v>
      </c>
      <c r="T29" s="281"/>
      <c r="U29" s="266">
        <f>S29+T29</f>
        <v>1238.308</v>
      </c>
      <c r="V29" s="283">
        <v>517.4</v>
      </c>
      <c r="W29" s="282">
        <v>447</v>
      </c>
      <c r="X29" s="282">
        <v>1980</v>
      </c>
      <c r="Y29" s="263">
        <f>SUM(V29:X29)</f>
        <v>2944.4</v>
      </c>
      <c r="Z29" s="281">
        <v>40</v>
      </c>
      <c r="AA29" s="266">
        <f>Y29+Z29</f>
        <v>2984.4</v>
      </c>
      <c r="AB29" s="232">
        <f>(AA29/O29)</f>
        <v>1.0405857740585773</v>
      </c>
      <c r="AC29" s="178"/>
      <c r="AD29" s="178"/>
    </row>
    <row r="30" spans="1:30" x14ac:dyDescent="0.25">
      <c r="A30" s="180"/>
      <c r="B30" s="274" t="s">
        <v>54</v>
      </c>
      <c r="C30" s="273" t="s">
        <v>53</v>
      </c>
      <c r="D30" s="267">
        <v>3137.1909999999998</v>
      </c>
      <c r="E30" s="267"/>
      <c r="F30" s="267" t="s">
        <v>52</v>
      </c>
      <c r="G30" s="263">
        <f>SUM(D30:F30)</f>
        <v>3137.1909999999998</v>
      </c>
      <c r="H30" s="263">
        <v>59.473999999999997</v>
      </c>
      <c r="I30" s="266">
        <f>G30+H30</f>
        <v>3196.665</v>
      </c>
      <c r="J30" s="268">
        <v>3150</v>
      </c>
      <c r="K30" s="267"/>
      <c r="L30" s="267"/>
      <c r="M30" s="263">
        <f>SUM(J30:L30)</f>
        <v>3150</v>
      </c>
      <c r="N30" s="263">
        <v>80</v>
      </c>
      <c r="O30" s="266">
        <f>M30+N30</f>
        <v>3230</v>
      </c>
      <c r="P30" s="268">
        <v>1974.5730000000001</v>
      </c>
      <c r="Q30" s="267"/>
      <c r="R30" s="267"/>
      <c r="S30" s="263">
        <f>SUM(P30:R30)</f>
        <v>1974.5730000000001</v>
      </c>
      <c r="T30" s="263"/>
      <c r="U30" s="266">
        <f>S30+T30</f>
        <v>1974.5730000000001</v>
      </c>
      <c r="V30" s="268">
        <v>3610</v>
      </c>
      <c r="W30" s="267"/>
      <c r="X30" s="267"/>
      <c r="Y30" s="263">
        <f>SUM(V30:X30)</f>
        <v>3610</v>
      </c>
      <c r="Z30" s="263">
        <v>60</v>
      </c>
      <c r="AA30" s="266">
        <f>Y30+Z30</f>
        <v>3670</v>
      </c>
      <c r="AB30" s="232">
        <f>(AA30/O30)</f>
        <v>1.1362229102167183</v>
      </c>
      <c r="AC30" s="178"/>
      <c r="AD30" s="178"/>
    </row>
    <row r="31" spans="1:30" x14ac:dyDescent="0.25">
      <c r="A31" s="180"/>
      <c r="B31" s="274" t="s">
        <v>51</v>
      </c>
      <c r="C31" s="273" t="s">
        <v>50</v>
      </c>
      <c r="D31" s="267">
        <v>886.02200000000005</v>
      </c>
      <c r="E31" s="267">
        <v>45.707000000000001</v>
      </c>
      <c r="F31" s="267">
        <v>0.5</v>
      </c>
      <c r="G31" s="263">
        <f>SUM(D31:F31)</f>
        <v>932.22900000000004</v>
      </c>
      <c r="H31" s="263">
        <v>10.064</v>
      </c>
      <c r="I31" s="266">
        <f>G31+H31</f>
        <v>942.29300000000001</v>
      </c>
      <c r="J31" s="268">
        <v>878.9</v>
      </c>
      <c r="K31" s="267">
        <v>50</v>
      </c>
      <c r="L31" s="267"/>
      <c r="M31" s="263">
        <f>SUM(J31:L31)</f>
        <v>928.9</v>
      </c>
      <c r="N31" s="263"/>
      <c r="O31" s="266">
        <f>M31+N31</f>
        <v>928.9</v>
      </c>
      <c r="P31" s="268">
        <v>424.29599999999999</v>
      </c>
      <c r="Q31" s="267"/>
      <c r="R31" s="267"/>
      <c r="S31" s="263">
        <f>SUM(P31:R31)</f>
        <v>424.29599999999999</v>
      </c>
      <c r="T31" s="263"/>
      <c r="U31" s="266">
        <f>S31+T31</f>
        <v>424.29599999999999</v>
      </c>
      <c r="V31" s="268">
        <v>853.93100000000004</v>
      </c>
      <c r="W31" s="267"/>
      <c r="X31" s="267">
        <v>20</v>
      </c>
      <c r="Y31" s="263">
        <f>SUM(V31:X31)</f>
        <v>873.93100000000004</v>
      </c>
      <c r="Z31" s="263"/>
      <c r="AA31" s="266">
        <f>Y31+Z31</f>
        <v>873.93100000000004</v>
      </c>
      <c r="AB31" s="232">
        <f>(AA31/O31)</f>
        <v>0.94082355474216817</v>
      </c>
      <c r="AC31" s="178"/>
      <c r="AD31" s="178"/>
    </row>
    <row r="32" spans="1:30" x14ac:dyDescent="0.25">
      <c r="A32" s="180"/>
      <c r="B32" s="274" t="s">
        <v>49</v>
      </c>
      <c r="C32" s="273" t="s">
        <v>48</v>
      </c>
      <c r="D32" s="676">
        <v>243.964</v>
      </c>
      <c r="E32" s="267">
        <v>33359.917999999998</v>
      </c>
      <c r="F32" s="267"/>
      <c r="G32" s="263">
        <f>SUM(D32:F32)</f>
        <v>33603.881999999998</v>
      </c>
      <c r="H32" s="263"/>
      <c r="I32" s="266">
        <f>G32+H32</f>
        <v>33603.881999999998</v>
      </c>
      <c r="J32" s="279">
        <v>329.96600000000001</v>
      </c>
      <c r="K32" s="267">
        <v>34545.639000000003</v>
      </c>
      <c r="L32" s="267"/>
      <c r="M32" s="263">
        <f>SUM(J32:L32)</f>
        <v>34875.605000000003</v>
      </c>
      <c r="N32" s="263"/>
      <c r="O32" s="266">
        <f>M32+N32</f>
        <v>34875.605000000003</v>
      </c>
      <c r="P32" s="675">
        <v>240.71700000000001</v>
      </c>
      <c r="Q32" s="267">
        <v>15501.877</v>
      </c>
      <c r="R32" s="267"/>
      <c r="S32" s="263">
        <f>SUM(P32:R32)</f>
        <v>15742.594000000001</v>
      </c>
      <c r="T32" s="263"/>
      <c r="U32" s="266">
        <f>S32+T32</f>
        <v>15742.594000000001</v>
      </c>
      <c r="V32" s="279">
        <v>202.65199999999999</v>
      </c>
      <c r="W32" s="267">
        <v>34526</v>
      </c>
      <c r="X32" s="267"/>
      <c r="Y32" s="263">
        <f>SUM(V32:X32)</f>
        <v>34728.652000000002</v>
      </c>
      <c r="Z32" s="263"/>
      <c r="AA32" s="266">
        <f>Y32+Z32</f>
        <v>34728.652000000002</v>
      </c>
      <c r="AB32" s="232">
        <f>(AA32/O32)</f>
        <v>0.99578636700352574</v>
      </c>
      <c r="AC32" s="178"/>
      <c r="AD32" s="178"/>
    </row>
    <row r="33" spans="1:30" x14ac:dyDescent="0.25">
      <c r="A33" s="180"/>
      <c r="B33" s="274" t="s">
        <v>47</v>
      </c>
      <c r="C33" s="280" t="s">
        <v>46</v>
      </c>
      <c r="D33" s="676">
        <v>243.964</v>
      </c>
      <c r="E33" s="267">
        <v>33232.368000000002</v>
      </c>
      <c r="F33" s="267"/>
      <c r="G33" s="263">
        <f>SUM(D33:F33)</f>
        <v>33476.332000000002</v>
      </c>
      <c r="H33" s="263"/>
      <c r="I33" s="266">
        <f>G33+H33</f>
        <v>33476.332000000002</v>
      </c>
      <c r="J33" s="279">
        <v>219.36600000000001</v>
      </c>
      <c r="K33" s="267">
        <v>34437.239000000001</v>
      </c>
      <c r="L33" s="267"/>
      <c r="M33" s="263">
        <f>SUM(J33:L33)</f>
        <v>34656.605000000003</v>
      </c>
      <c r="N33" s="263"/>
      <c r="O33" s="266">
        <f>M33+N33</f>
        <v>34656.605000000003</v>
      </c>
      <c r="P33" s="675">
        <v>219.36699999999999</v>
      </c>
      <c r="Q33" s="267">
        <v>15414.377</v>
      </c>
      <c r="R33" s="267"/>
      <c r="S33" s="263">
        <f>SUM(P33:R33)</f>
        <v>15633.744000000001</v>
      </c>
      <c r="T33" s="263"/>
      <c r="U33" s="266">
        <f>S33+T33</f>
        <v>15633.744000000001</v>
      </c>
      <c r="V33" s="279">
        <v>138.852</v>
      </c>
      <c r="W33" s="267">
        <v>34006</v>
      </c>
      <c r="X33" s="267"/>
      <c r="Y33" s="263">
        <f>SUM(V33:X33)</f>
        <v>34144.851999999999</v>
      </c>
      <c r="Z33" s="263"/>
      <c r="AA33" s="266">
        <f>Y33+Z33</f>
        <v>34144.851999999999</v>
      </c>
      <c r="AB33" s="232">
        <f>(AA33/O33)</f>
        <v>0.98523360842759977</v>
      </c>
      <c r="AC33" s="178"/>
      <c r="AD33" s="178"/>
    </row>
    <row r="34" spans="1:30" x14ac:dyDescent="0.25">
      <c r="A34" s="180"/>
      <c r="B34" s="274" t="s">
        <v>45</v>
      </c>
      <c r="C34" s="278" t="s">
        <v>44</v>
      </c>
      <c r="D34" s="277" t="s">
        <v>52</v>
      </c>
      <c r="E34" s="267">
        <v>127.55</v>
      </c>
      <c r="F34" s="267"/>
      <c r="G34" s="263">
        <f>SUM(D34:F34)</f>
        <v>127.55</v>
      </c>
      <c r="H34" s="263"/>
      <c r="I34" s="266">
        <f>G34+H34</f>
        <v>127.55</v>
      </c>
      <c r="J34" s="275">
        <v>110.6</v>
      </c>
      <c r="K34" s="267">
        <v>108.4</v>
      </c>
      <c r="L34" s="267"/>
      <c r="M34" s="263">
        <f>SUM(J34:L34)</f>
        <v>219</v>
      </c>
      <c r="N34" s="263"/>
      <c r="O34" s="266">
        <f>M34+N34</f>
        <v>219</v>
      </c>
      <c r="P34" s="275">
        <v>21.35</v>
      </c>
      <c r="Q34" s="267">
        <v>87.5</v>
      </c>
      <c r="R34" s="267"/>
      <c r="S34" s="263">
        <f>SUM(P34:R34)</f>
        <v>108.85</v>
      </c>
      <c r="T34" s="263"/>
      <c r="U34" s="266">
        <f>S34+T34</f>
        <v>108.85</v>
      </c>
      <c r="V34" s="275">
        <v>63.8</v>
      </c>
      <c r="W34" s="267">
        <v>520</v>
      </c>
      <c r="X34" s="267"/>
      <c r="Y34" s="263">
        <f>SUM(V34:X34)</f>
        <v>583.79999999999995</v>
      </c>
      <c r="Z34" s="263"/>
      <c r="AA34" s="266">
        <f>Y34+Z34</f>
        <v>583.79999999999995</v>
      </c>
      <c r="AB34" s="232">
        <f>(AA34/O34)</f>
        <v>2.6657534246575341</v>
      </c>
      <c r="AC34" s="178"/>
      <c r="AD34" s="178"/>
    </row>
    <row r="35" spans="1:30" x14ac:dyDescent="0.25">
      <c r="A35" s="180"/>
      <c r="B35" s="274" t="s">
        <v>43</v>
      </c>
      <c r="C35" s="273" t="s">
        <v>42</v>
      </c>
      <c r="D35" s="277">
        <v>94.29</v>
      </c>
      <c r="E35" s="267">
        <v>11367.869000000001</v>
      </c>
      <c r="F35" s="267"/>
      <c r="G35" s="263">
        <f>SUM(D35:F35)</f>
        <v>11462.159000000001</v>
      </c>
      <c r="H35" s="263"/>
      <c r="I35" s="266">
        <f>G35+H35</f>
        <v>11462.159000000001</v>
      </c>
      <c r="J35" s="279">
        <v>74.147000000000006</v>
      </c>
      <c r="K35" s="267">
        <v>11644.857</v>
      </c>
      <c r="L35" s="267"/>
      <c r="M35" s="263">
        <f>SUM(J35:L35)</f>
        <v>11719.004000000001</v>
      </c>
      <c r="N35" s="263"/>
      <c r="O35" s="266">
        <f>M35+N35</f>
        <v>11719.004000000001</v>
      </c>
      <c r="P35" s="275">
        <v>80.906000000000006</v>
      </c>
      <c r="Q35" s="267">
        <v>5288.6869999999999</v>
      </c>
      <c r="R35" s="267"/>
      <c r="S35" s="263">
        <f>SUM(P35:R35)</f>
        <v>5369.5929999999998</v>
      </c>
      <c r="T35" s="263"/>
      <c r="U35" s="266">
        <f>S35+T35</f>
        <v>5369.5929999999998</v>
      </c>
      <c r="V35" s="279">
        <v>47.070999999999998</v>
      </c>
      <c r="W35" s="267">
        <v>11664.058000000001</v>
      </c>
      <c r="X35" s="267"/>
      <c r="Y35" s="263">
        <f>SUM(V35:X35)</f>
        <v>11711.129000000001</v>
      </c>
      <c r="Z35" s="263"/>
      <c r="AA35" s="266">
        <f>Y35+Z35</f>
        <v>11711.129000000001</v>
      </c>
      <c r="AB35" s="232">
        <f>(AA35/O35)</f>
        <v>0.99932801456506026</v>
      </c>
      <c r="AC35" s="178"/>
      <c r="AD35" s="178"/>
    </row>
    <row r="36" spans="1:30" x14ac:dyDescent="0.25">
      <c r="A36" s="180"/>
      <c r="B36" s="274" t="s">
        <v>41</v>
      </c>
      <c r="C36" s="273" t="s">
        <v>40</v>
      </c>
      <c r="D36" s="267" t="s">
        <v>52</v>
      </c>
      <c r="E36" s="267"/>
      <c r="F36" s="267"/>
      <c r="G36" s="263">
        <f>SUM(D36:F36)</f>
        <v>0</v>
      </c>
      <c r="H36" s="263"/>
      <c r="I36" s="266">
        <f>G36+H36</f>
        <v>0</v>
      </c>
      <c r="J36" s="268"/>
      <c r="K36" s="267"/>
      <c r="L36" s="267"/>
      <c r="M36" s="263">
        <f>SUM(J36:L36)</f>
        <v>0</v>
      </c>
      <c r="N36" s="263"/>
      <c r="O36" s="266">
        <f>M36+N36</f>
        <v>0</v>
      </c>
      <c r="P36" s="268"/>
      <c r="Q36" s="267"/>
      <c r="R36" s="267"/>
      <c r="S36" s="263">
        <f>SUM(P36:R36)</f>
        <v>0</v>
      </c>
      <c r="T36" s="263"/>
      <c r="U36" s="266">
        <f>S36+T36</f>
        <v>0</v>
      </c>
      <c r="V36" s="268"/>
      <c r="W36" s="267"/>
      <c r="X36" s="267"/>
      <c r="Y36" s="263">
        <f>SUM(V36:X36)</f>
        <v>0</v>
      </c>
      <c r="Z36" s="263"/>
      <c r="AA36" s="266">
        <f>Y36+Z36</f>
        <v>0</v>
      </c>
      <c r="AB36" s="232" t="e">
        <f>(AA36/O36)</f>
        <v>#DIV/0!</v>
      </c>
      <c r="AC36" s="178"/>
      <c r="AD36" s="178"/>
    </row>
    <row r="37" spans="1:30" x14ac:dyDescent="0.25">
      <c r="A37" s="180"/>
      <c r="B37" s="274" t="s">
        <v>39</v>
      </c>
      <c r="C37" s="273" t="s">
        <v>38</v>
      </c>
      <c r="D37" s="267">
        <v>363.07600000000002</v>
      </c>
      <c r="E37" s="267"/>
      <c r="F37" s="267">
        <v>678.36199999999997</v>
      </c>
      <c r="G37" s="263">
        <f>SUM(D37:F37)</f>
        <v>1041.4380000000001</v>
      </c>
      <c r="H37" s="263"/>
      <c r="I37" s="266">
        <f>G37+H37</f>
        <v>1041.4380000000001</v>
      </c>
      <c r="J37" s="268">
        <v>435.28399999999999</v>
      </c>
      <c r="K37" s="267"/>
      <c r="L37" s="267">
        <v>1446.982</v>
      </c>
      <c r="M37" s="263">
        <f>SUM(J37:L37)</f>
        <v>1882.2660000000001</v>
      </c>
      <c r="N37" s="263"/>
      <c r="O37" s="266">
        <f>M37+N37</f>
        <v>1882.2660000000001</v>
      </c>
      <c r="P37" s="268">
        <v>234.03899999999999</v>
      </c>
      <c r="Q37" s="267"/>
      <c r="R37" s="267">
        <v>723.44</v>
      </c>
      <c r="S37" s="263">
        <f>SUM(P37:R37)</f>
        <v>957.47900000000004</v>
      </c>
      <c r="T37" s="263"/>
      <c r="U37" s="266">
        <f>S37+T37</f>
        <v>957.47900000000004</v>
      </c>
      <c r="V37" s="268">
        <v>468.06900000000002</v>
      </c>
      <c r="W37" s="267"/>
      <c r="X37" s="267">
        <v>1446.88</v>
      </c>
      <c r="Y37" s="263">
        <f>SUM(V37:X37)</f>
        <v>1914.9490000000001</v>
      </c>
      <c r="Z37" s="263"/>
      <c r="AA37" s="266">
        <f>Y37+Z37</f>
        <v>1914.9490000000001</v>
      </c>
      <c r="AB37" s="232">
        <f>(AA37/O37)</f>
        <v>1.0173636457333872</v>
      </c>
      <c r="AC37" s="178"/>
      <c r="AD37" s="178"/>
    </row>
    <row r="38" spans="1:30" ht="15.75" thickBot="1" x14ac:dyDescent="0.3">
      <c r="A38" s="180"/>
      <c r="B38" s="265" t="s">
        <v>37</v>
      </c>
      <c r="C38" s="264" t="s">
        <v>36</v>
      </c>
      <c r="D38" s="257">
        <v>328.68900000000002</v>
      </c>
      <c r="E38" s="257">
        <v>2001.519</v>
      </c>
      <c r="F38" s="257">
        <v>36.57</v>
      </c>
      <c r="G38" s="263">
        <f>SUM(D38:F38)</f>
        <v>2366.7780000000002</v>
      </c>
      <c r="H38" s="256"/>
      <c r="I38" s="255">
        <f>G38+H38</f>
        <v>2366.7780000000002</v>
      </c>
      <c r="J38" s="258">
        <v>204.387</v>
      </c>
      <c r="K38" s="257">
        <v>1218.9659999999999</v>
      </c>
      <c r="L38" s="257">
        <v>75</v>
      </c>
      <c r="M38" s="256">
        <f>SUM(J38:L38)</f>
        <v>1498.3529999999998</v>
      </c>
      <c r="N38" s="256"/>
      <c r="O38" s="255">
        <f>M38+N38</f>
        <v>1498.3529999999998</v>
      </c>
      <c r="P38" s="258">
        <v>98.864999999999995</v>
      </c>
      <c r="Q38" s="257">
        <v>566.81500000000005</v>
      </c>
      <c r="R38" s="257">
        <v>25.555</v>
      </c>
      <c r="S38" s="256">
        <f>SUM(P38:R38)</f>
        <v>691.23500000000001</v>
      </c>
      <c r="T38" s="256"/>
      <c r="U38" s="255">
        <f>S38+T38</f>
        <v>691.23500000000001</v>
      </c>
      <c r="V38" s="258">
        <v>178.77699999999999</v>
      </c>
      <c r="W38" s="257">
        <v>1724.942</v>
      </c>
      <c r="X38" s="257">
        <v>80</v>
      </c>
      <c r="Y38" s="256">
        <f>SUM(V38:X38)</f>
        <v>1983.7190000000001</v>
      </c>
      <c r="Z38" s="256"/>
      <c r="AA38" s="255">
        <f>Y38+Z38</f>
        <v>1983.7190000000001</v>
      </c>
      <c r="AB38" s="254">
        <f>(AA38/O38)</f>
        <v>1.3239330117802683</v>
      </c>
      <c r="AC38" s="178"/>
      <c r="AD38" s="178"/>
    </row>
    <row r="39" spans="1:30" ht="15.75" thickBot="1" x14ac:dyDescent="0.3">
      <c r="A39" s="180"/>
      <c r="B39" s="253" t="s">
        <v>35</v>
      </c>
      <c r="C39" s="252" t="s">
        <v>34</v>
      </c>
      <c r="D39" s="251">
        <f>SUM(D35:D38)+SUM(D28:D32)</f>
        <v>6010.5010000000002</v>
      </c>
      <c r="E39" s="251">
        <f>SUM(E35:E38)+SUM(E28:E32)</f>
        <v>47026.95</v>
      </c>
      <c r="F39" s="251">
        <f>SUM(F35:F38)+SUM(F28:F32)</f>
        <v>1705.125</v>
      </c>
      <c r="G39" s="250">
        <f>SUM(D39:F39)</f>
        <v>54742.576000000001</v>
      </c>
      <c r="H39" s="249">
        <f>SUM(H28:H32)+SUM(H35:H38)</f>
        <v>83.718999999999994</v>
      </c>
      <c r="I39" s="248">
        <f>SUM(I35:I38)+SUM(I28:I32)</f>
        <v>54826.294999999998</v>
      </c>
      <c r="J39" s="251">
        <f>SUM(J35:J38)+SUM(J28:J32)</f>
        <v>5867.4000000000005</v>
      </c>
      <c r="K39" s="251">
        <f>SUM(K35:K38)+SUM(K28:K32)</f>
        <v>47689.462</v>
      </c>
      <c r="L39" s="251">
        <f>SUM(L35:L38)+SUM(L28:L32)</f>
        <v>3751.982</v>
      </c>
      <c r="M39" s="250">
        <f>SUM(J39:L39)</f>
        <v>57308.843999999997</v>
      </c>
      <c r="N39" s="249">
        <f>SUM(N28:N32)+SUM(N35:N38)</f>
        <v>120</v>
      </c>
      <c r="O39" s="248">
        <f>SUM(O35:O38)+SUM(O28:O32)</f>
        <v>57428.844000000005</v>
      </c>
      <c r="P39" s="251">
        <f>SUM(P35:P38)+SUM(P28:P32)</f>
        <v>3356.9589999999998</v>
      </c>
      <c r="Q39" s="251">
        <f>SUM(Q35:Q38)+SUM(Q28:Q32)</f>
        <v>21823.413</v>
      </c>
      <c r="R39" s="251">
        <f>SUM(R35:R38)+SUM(R28:R32)</f>
        <v>1236.18</v>
      </c>
      <c r="S39" s="250">
        <f>SUM(P39:R39)</f>
        <v>26416.552</v>
      </c>
      <c r="T39" s="249">
        <f>SUM(T28:T32)+SUM(T35:T38)</f>
        <v>0</v>
      </c>
      <c r="U39" s="248">
        <f>SUM(U35:U38)+SUM(U28:U32)</f>
        <v>26416.552000000003</v>
      </c>
      <c r="V39" s="251">
        <f>SUM(V35:V38)+SUM(V28:V32)</f>
        <v>5997.9</v>
      </c>
      <c r="W39" s="251">
        <f>SUM(W35:W38)+SUM(W28:W32)</f>
        <v>48362</v>
      </c>
      <c r="X39" s="251">
        <f>SUM(X35:X38)+SUM(X28:X32)</f>
        <v>3526.88</v>
      </c>
      <c r="Y39" s="250">
        <f>SUM(V39:X39)</f>
        <v>57886.78</v>
      </c>
      <c r="Z39" s="249">
        <f>SUM(Z28:Z32)+SUM(Z35:Z38)</f>
        <v>100</v>
      </c>
      <c r="AA39" s="248">
        <f>SUM(AA35:AA38)+SUM(AA28:AA32)</f>
        <v>57986.78</v>
      </c>
      <c r="AB39" s="247">
        <f>(AA39/O39)</f>
        <v>1.0097152573713655</v>
      </c>
      <c r="AC39" s="178"/>
      <c r="AD39" s="178"/>
    </row>
    <row r="40" spans="1:30" ht="19.5" thickBot="1" x14ac:dyDescent="0.35">
      <c r="A40" s="180"/>
      <c r="B40" s="246" t="s">
        <v>33</v>
      </c>
      <c r="C40" s="245" t="s">
        <v>32</v>
      </c>
      <c r="D40" s="244">
        <f>D24-D39</f>
        <v>-78.201000000000931</v>
      </c>
      <c r="E40" s="244">
        <f>E24-E39</f>
        <v>0</v>
      </c>
      <c r="F40" s="244">
        <f>F24-F39</f>
        <v>169.07299999999987</v>
      </c>
      <c r="G40" s="243">
        <f>G24-G39</f>
        <v>90.871999999995751</v>
      </c>
      <c r="H40" s="243">
        <f>H24-H39</f>
        <v>134.68800000000002</v>
      </c>
      <c r="I40" s="242">
        <f>I24-I39</f>
        <v>225.55999999999767</v>
      </c>
      <c r="J40" s="244">
        <f>J24-J39</f>
        <v>0</v>
      </c>
      <c r="K40" s="244">
        <f>K24-K39</f>
        <v>0</v>
      </c>
      <c r="L40" s="244">
        <f>L24-L39</f>
        <v>0</v>
      </c>
      <c r="M40" s="243">
        <f>M24-M39</f>
        <v>0</v>
      </c>
      <c r="N40" s="243">
        <f>N24-N39</f>
        <v>0</v>
      </c>
      <c r="O40" s="242">
        <f>O24-O39</f>
        <v>0</v>
      </c>
      <c r="P40" s="244">
        <f>P24-P39</f>
        <v>-232.00999999999976</v>
      </c>
      <c r="Q40" s="244">
        <f>Q24-Q39</f>
        <v>53.159999999999854</v>
      </c>
      <c r="R40" s="244">
        <f>R24-R39</f>
        <v>53.747000000000071</v>
      </c>
      <c r="S40" s="243">
        <f>S24-S39</f>
        <v>-125.10299999999916</v>
      </c>
      <c r="T40" s="243">
        <f>T24-T39</f>
        <v>28.056000000000001</v>
      </c>
      <c r="U40" s="242">
        <f>U24-U39</f>
        <v>-97.047000000005937</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-5313.840000000002</v>
      </c>
      <c r="J41" s="237"/>
      <c r="K41" s="236"/>
      <c r="L41" s="236"/>
      <c r="M41" s="235"/>
      <c r="N41" s="234"/>
      <c r="O41" s="233">
        <f>O40-J16</f>
        <v>-5387</v>
      </c>
      <c r="P41" s="237"/>
      <c r="Q41" s="236"/>
      <c r="R41" s="236"/>
      <c r="S41" s="235"/>
      <c r="T41" s="234"/>
      <c r="U41" s="233">
        <f>U40-P16</f>
        <v>-2885.786000000006</v>
      </c>
      <c r="V41" s="237"/>
      <c r="W41" s="236"/>
      <c r="X41" s="236"/>
      <c r="Y41" s="235"/>
      <c r="Z41" s="234"/>
      <c r="AA41" s="233">
        <f>AA40-V16</f>
        <v>-5660</v>
      </c>
      <c r="AB41" s="232">
        <f>(AA41/O41)</f>
        <v>1.0506775570818638</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195.4</v>
      </c>
      <c r="E44" s="225">
        <v>195.4</v>
      </c>
      <c r="F44" s="224">
        <v>0</v>
      </c>
      <c r="G44" s="202"/>
      <c r="H44" s="202"/>
      <c r="I44" s="201"/>
      <c r="J44" s="214">
        <v>185.9</v>
      </c>
      <c r="K44" s="225">
        <v>185.9</v>
      </c>
      <c r="L44" s="224">
        <v>0</v>
      </c>
      <c r="M44" s="223"/>
      <c r="N44" s="223"/>
      <c r="O44" s="223"/>
      <c r="P44" s="674">
        <v>220.011</v>
      </c>
      <c r="Q44" s="674">
        <v>220.011</v>
      </c>
      <c r="R44" s="673">
        <v>0</v>
      </c>
      <c r="S44" s="178"/>
      <c r="T44" s="178"/>
      <c r="U44" s="178"/>
      <c r="V44" s="214">
        <v>220.011</v>
      </c>
      <c r="W44" s="225">
        <v>220.011</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246</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D50+E50-F50</f>
        <v>0</v>
      </c>
      <c r="H50" s="202"/>
      <c r="I50" s="178"/>
      <c r="J50" s="210"/>
      <c r="K50" s="210"/>
      <c r="L50" s="210"/>
      <c r="M50" s="209">
        <f>J50+K50-L50</f>
        <v>0</v>
      </c>
      <c r="N50" s="178"/>
      <c r="O50" s="178"/>
      <c r="P50" s="210"/>
      <c r="Q50" s="210"/>
      <c r="R50" s="210"/>
      <c r="S50" s="209">
        <f>P50+Q50-R50</f>
        <v>0</v>
      </c>
      <c r="T50" s="178"/>
      <c r="U50" s="178"/>
      <c r="V50" s="210"/>
      <c r="W50" s="210"/>
      <c r="X50" s="210"/>
      <c r="Y50" s="209">
        <f>V50+W50-X50</f>
        <v>0</v>
      </c>
      <c r="Z50" s="178"/>
      <c r="AA50" s="178"/>
      <c r="AB50" s="178"/>
      <c r="AC50" s="178"/>
      <c r="AD50" s="178"/>
    </row>
    <row r="51" spans="1:30" x14ac:dyDescent="0.25">
      <c r="A51" s="180"/>
      <c r="B51" s="204"/>
      <c r="C51" s="206" t="s">
        <v>15</v>
      </c>
      <c r="D51" s="210">
        <v>1350.6780000000001</v>
      </c>
      <c r="E51" s="210">
        <v>1137.5999999999999</v>
      </c>
      <c r="F51" s="210">
        <v>984.8</v>
      </c>
      <c r="G51" s="209">
        <f>D51+E51-F51</f>
        <v>1503.4780000000003</v>
      </c>
      <c r="H51" s="202"/>
      <c r="I51" s="178"/>
      <c r="J51" s="210">
        <v>44.9</v>
      </c>
      <c r="K51" s="210">
        <v>20</v>
      </c>
      <c r="L51" s="210">
        <v>30</v>
      </c>
      <c r="M51" s="209">
        <f>J51+K51-L51</f>
        <v>34.900000000000006</v>
      </c>
      <c r="N51" s="178"/>
      <c r="O51" s="178"/>
      <c r="P51" s="210">
        <v>1503.5</v>
      </c>
      <c r="Q51" s="210">
        <v>180.4</v>
      </c>
      <c r="R51" s="210">
        <v>779.9</v>
      </c>
      <c r="S51" s="209">
        <f>P51+Q51-R51</f>
        <v>904.00000000000011</v>
      </c>
      <c r="T51" s="178"/>
      <c r="U51" s="178"/>
      <c r="V51" s="210">
        <v>1906.4459999999999</v>
      </c>
      <c r="W51" s="210">
        <v>10</v>
      </c>
      <c r="X51" s="210">
        <v>1830</v>
      </c>
      <c r="Y51" s="209">
        <f>V51+W51-X51</f>
        <v>86.445999999999913</v>
      </c>
      <c r="Z51" s="178"/>
      <c r="AA51" s="178"/>
      <c r="AB51" s="178"/>
      <c r="AC51" s="178"/>
      <c r="AD51" s="178"/>
    </row>
    <row r="52" spans="1:30" x14ac:dyDescent="0.25">
      <c r="A52" s="180"/>
      <c r="B52" s="204"/>
      <c r="C52" s="206" t="s">
        <v>14</v>
      </c>
      <c r="D52" s="210">
        <v>314.11</v>
      </c>
      <c r="E52" s="210">
        <v>363.08</v>
      </c>
      <c r="F52" s="210">
        <v>279.45999999999998</v>
      </c>
      <c r="G52" s="209">
        <f>D52+E52-F52</f>
        <v>397.73000000000008</v>
      </c>
      <c r="H52" s="202"/>
      <c r="I52" s="178"/>
      <c r="J52" s="210">
        <v>378.9</v>
      </c>
      <c r="K52" s="210">
        <v>435.28399999999999</v>
      </c>
      <c r="L52" s="210">
        <v>425</v>
      </c>
      <c r="M52" s="209">
        <f>J52+K52-L52</f>
        <v>389.18399999999997</v>
      </c>
      <c r="N52" s="178"/>
      <c r="O52" s="178"/>
      <c r="P52" s="210">
        <v>397.72699999999998</v>
      </c>
      <c r="Q52" s="210">
        <v>234.03800000000001</v>
      </c>
      <c r="R52" s="210">
        <v>220.011</v>
      </c>
      <c r="S52" s="209">
        <f>P52+Q52-R52</f>
        <v>411.75400000000002</v>
      </c>
      <c r="T52" s="178"/>
      <c r="U52" s="178"/>
      <c r="V52" s="210">
        <v>645.755</v>
      </c>
      <c r="W52" s="210">
        <v>468.1</v>
      </c>
      <c r="X52" s="210">
        <v>620</v>
      </c>
      <c r="Y52" s="209">
        <f>V52+W52-X52</f>
        <v>493.85500000000002</v>
      </c>
      <c r="Z52" s="178"/>
      <c r="AA52" s="178"/>
      <c r="AB52" s="178"/>
      <c r="AC52" s="178"/>
      <c r="AD52" s="178"/>
    </row>
    <row r="53" spans="1:30" x14ac:dyDescent="0.25">
      <c r="A53" s="180"/>
      <c r="B53" s="204"/>
      <c r="C53" s="206" t="s">
        <v>13</v>
      </c>
      <c r="D53" s="210">
        <v>32.61</v>
      </c>
      <c r="E53" s="210">
        <v>0</v>
      </c>
      <c r="F53" s="210">
        <v>1.33</v>
      </c>
      <c r="G53" s="209">
        <f>D53+E53-F53</f>
        <v>31.28</v>
      </c>
      <c r="H53" s="202"/>
      <c r="I53" s="178"/>
      <c r="J53" s="210">
        <v>30.6</v>
      </c>
      <c r="K53" s="210">
        <v>0</v>
      </c>
      <c r="L53" s="210">
        <v>3</v>
      </c>
      <c r="M53" s="209">
        <f>J53+K53-L53</f>
        <v>27.6</v>
      </c>
      <c r="N53" s="178"/>
      <c r="O53" s="178"/>
      <c r="P53" s="210">
        <v>31.279</v>
      </c>
      <c r="Q53" s="210">
        <v>45.112000000000002</v>
      </c>
      <c r="R53" s="210">
        <v>0</v>
      </c>
      <c r="S53" s="209">
        <f>P53+Q53-R53</f>
        <v>76.391000000000005</v>
      </c>
      <c r="T53" s="178"/>
      <c r="U53" s="178"/>
      <c r="V53" s="210">
        <v>74.39</v>
      </c>
      <c r="W53" s="210">
        <v>0</v>
      </c>
      <c r="X53" s="210">
        <v>5</v>
      </c>
      <c r="Y53" s="209">
        <f>V53+W53-X53</f>
        <v>69.39</v>
      </c>
      <c r="Z53" s="178"/>
      <c r="AA53" s="178"/>
      <c r="AB53" s="178"/>
      <c r="AC53" s="178"/>
      <c r="AD53" s="178"/>
    </row>
    <row r="54" spans="1:30" x14ac:dyDescent="0.25">
      <c r="A54" s="180"/>
      <c r="B54" s="204"/>
      <c r="C54" s="212" t="s">
        <v>12</v>
      </c>
      <c r="D54" s="210">
        <v>691.98</v>
      </c>
      <c r="E54" s="210">
        <v>673.63</v>
      </c>
      <c r="F54" s="210">
        <v>441.16</v>
      </c>
      <c r="G54" s="209">
        <f>D54+E54-F54</f>
        <v>924.45</v>
      </c>
      <c r="H54" s="202"/>
      <c r="I54" s="178"/>
      <c r="J54" s="210">
        <v>664</v>
      </c>
      <c r="K54" s="210">
        <v>680</v>
      </c>
      <c r="L54" s="210">
        <v>800</v>
      </c>
      <c r="M54" s="209">
        <f>J54+K54-L54</f>
        <v>544</v>
      </c>
      <c r="N54" s="178"/>
      <c r="O54" s="178"/>
      <c r="P54" s="210">
        <v>924.44600000000003</v>
      </c>
      <c r="Q54" s="210">
        <v>314.16199999999998</v>
      </c>
      <c r="R54" s="210">
        <v>333.03899999999999</v>
      </c>
      <c r="S54" s="209">
        <f>P54+Q54-R54</f>
        <v>905.56899999999996</v>
      </c>
      <c r="T54" s="178"/>
      <c r="U54" s="178"/>
      <c r="V54" s="210">
        <v>952</v>
      </c>
      <c r="W54" s="210">
        <v>632</v>
      </c>
      <c r="X54" s="210">
        <v>1025</v>
      </c>
      <c r="Y54" s="209">
        <f>V54+W54-X54</f>
        <v>559</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c r="E57" s="205">
        <v>74.63</v>
      </c>
      <c r="F57" s="202"/>
      <c r="G57" s="202"/>
      <c r="H57" s="202"/>
      <c r="I57" s="201"/>
      <c r="J57" s="205">
        <v>77</v>
      </c>
      <c r="K57" s="202"/>
      <c r="L57" s="202"/>
      <c r="M57" s="202"/>
      <c r="N57" s="202"/>
      <c r="O57" s="201"/>
      <c r="P57" s="205">
        <v>71.599999999999994</v>
      </c>
      <c r="Q57" s="201"/>
      <c r="R57" s="201"/>
      <c r="S57" s="201"/>
      <c r="T57" s="201"/>
      <c r="U57" s="201"/>
      <c r="V57" s="205">
        <v>72</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t="s">
        <v>245</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t="s">
        <v>244</v>
      </c>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t="s">
        <v>243</v>
      </c>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44501</v>
      </c>
      <c r="D91" s="179" t="s">
        <v>4</v>
      </c>
      <c r="E91" s="184" t="s">
        <v>242</v>
      </c>
      <c r="F91" s="184"/>
      <c r="G91" s="184"/>
      <c r="H91" s="179"/>
      <c r="I91" s="179" t="s">
        <v>2</v>
      </c>
      <c r="J91" s="183" t="s">
        <v>241</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113" ht="15" hidden="1" customHeight="1" x14ac:dyDescent="0.25"/>
    <row r="127" ht="15" hidden="1" customHeight="1" x14ac:dyDescent="0.25"/>
    <row r="128" ht="15" hidden="1" customHeight="1" x14ac:dyDescent="0.25"/>
    <row r="277" x14ac:dyDescent="0.25"/>
    <row r="278" x14ac:dyDescent="0.25"/>
  </sheetData>
  <mergeCells count="65">
    <mergeCell ref="B10:B13"/>
    <mergeCell ref="J10:O10"/>
    <mergeCell ref="J11:M11"/>
    <mergeCell ref="J12:O12"/>
    <mergeCell ref="J13:L13"/>
    <mergeCell ref="M13:M14"/>
    <mergeCell ref="N13:N14"/>
    <mergeCell ref="N26:N27"/>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91:G91"/>
    <mergeCell ref="J91:M91"/>
    <mergeCell ref="B63:U63"/>
    <mergeCell ref="B82:U82"/>
    <mergeCell ref="H26:H27"/>
    <mergeCell ref="I26:I27"/>
    <mergeCell ref="V10:AA10"/>
    <mergeCell ref="V25:AA25"/>
    <mergeCell ref="Y13:Y14"/>
    <mergeCell ref="Z13:Z14"/>
    <mergeCell ref="S13:S14"/>
    <mergeCell ref="T13:T14"/>
    <mergeCell ref="U13:U14"/>
    <mergeCell ref="P25:U25"/>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cfRule type="cellIs" dxfId="31" priority="3" operator="equal">
      <formula>0</formula>
    </cfRule>
    <cfRule type="containsErrors" dxfId="30" priority="4">
      <formula>ISERROR(AB15)</formula>
    </cfRule>
  </conditionalFormatting>
  <conditionalFormatting sqref="AB28:AB41">
    <cfRule type="cellIs" dxfId="29" priority="1" operator="equal">
      <formula>0</formula>
    </cfRule>
    <cfRule type="containsErrors" dxfId="28" priority="2">
      <formula>ISERROR(AB28)</formula>
    </cfRule>
  </conditionalFormatting>
  <pageMargins left="0.70866141732283472" right="0.70866141732283472" top="0.78740157480314965" bottom="0.78740157480314965" header="0.31496062992125984" footer="0.31496062992125984"/>
  <pageSetup paperSize="9" scale="2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276"/>
  <sheetViews>
    <sheetView showGridLines="0" zoomScale="80" zoomScaleNormal="80" zoomScaleSheetLayoutView="80" workbookViewId="0">
      <selection activeCell="G1" sqref="A1:G2"/>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17.7109375" style="176"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17.7109375" style="177" customWidth="1"/>
    <col min="14" max="14" width="13.28515625" style="176" customWidth="1"/>
    <col min="15" max="15" width="11.28515625" style="176" customWidth="1"/>
    <col min="16" max="16" width="14.5703125" style="176" customWidth="1"/>
    <col min="17"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17.71093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205</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46789758</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54" t="s">
        <v>204</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477" t="s">
        <v>52</v>
      </c>
      <c r="E15" s="368"/>
      <c r="F15" s="367">
        <v>1163</v>
      </c>
      <c r="G15" s="366">
        <f>SUM(D15:F15)</f>
        <v>1163</v>
      </c>
      <c r="H15" s="352">
        <v>0</v>
      </c>
      <c r="I15" s="266">
        <f>G15+H15</f>
        <v>1163</v>
      </c>
      <c r="J15" s="369">
        <v>0</v>
      </c>
      <c r="K15" s="368"/>
      <c r="L15" s="367">
        <v>2400</v>
      </c>
      <c r="M15" s="366">
        <f>SUM(J15:L15)</f>
        <v>2400</v>
      </c>
      <c r="N15" s="352">
        <v>0</v>
      </c>
      <c r="O15" s="266">
        <f>M15+N15</f>
        <v>2400</v>
      </c>
      <c r="P15" s="369"/>
      <c r="Q15" s="368"/>
      <c r="R15" s="367">
        <v>638</v>
      </c>
      <c r="S15" s="366">
        <f>SUM(P15:R15)</f>
        <v>638</v>
      </c>
      <c r="T15" s="352">
        <v>0</v>
      </c>
      <c r="U15" s="266">
        <f>S15+T15</f>
        <v>638</v>
      </c>
      <c r="V15" s="369"/>
      <c r="W15" s="368"/>
      <c r="X15" s="367">
        <v>2400</v>
      </c>
      <c r="Y15" s="366">
        <f>SUM(V15:X15)</f>
        <v>2400</v>
      </c>
      <c r="Z15" s="352">
        <v>0</v>
      </c>
      <c r="AA15" s="266">
        <f>Y15+Z15</f>
        <v>2400</v>
      </c>
      <c r="AB15" s="232">
        <f>(AA15/O15)</f>
        <v>1</v>
      </c>
      <c r="AC15" s="178"/>
      <c r="AD15" s="178"/>
    </row>
    <row r="16" spans="1:30" x14ac:dyDescent="0.25">
      <c r="A16" s="180"/>
      <c r="B16" s="274" t="s">
        <v>86</v>
      </c>
      <c r="C16" s="361" t="s">
        <v>85</v>
      </c>
      <c r="D16" s="360">
        <v>3910</v>
      </c>
      <c r="E16" s="343"/>
      <c r="F16" s="343"/>
      <c r="G16" s="341">
        <f>SUM(D16:F16)</f>
        <v>3910</v>
      </c>
      <c r="H16" s="358"/>
      <c r="I16" s="266">
        <f>G16+H16</f>
        <v>3910</v>
      </c>
      <c r="J16" s="360">
        <v>3959.4</v>
      </c>
      <c r="K16" s="343"/>
      <c r="L16" s="343"/>
      <c r="M16" s="341">
        <f>SUM(J16:L16)</f>
        <v>3959.4</v>
      </c>
      <c r="N16" s="358"/>
      <c r="O16" s="266">
        <f>M16+N16</f>
        <v>3959.4</v>
      </c>
      <c r="P16" s="360">
        <v>1979.7</v>
      </c>
      <c r="Q16" s="343"/>
      <c r="R16" s="343"/>
      <c r="S16" s="341">
        <f>SUM(P16:R16)</f>
        <v>1979.7</v>
      </c>
      <c r="T16" s="358"/>
      <c r="U16" s="266">
        <f>S16+T16</f>
        <v>1979.7</v>
      </c>
      <c r="V16" s="360">
        <v>4470</v>
      </c>
      <c r="W16" s="343"/>
      <c r="X16" s="343"/>
      <c r="Y16" s="341">
        <f>SUM(V16:X16)</f>
        <v>4470</v>
      </c>
      <c r="Z16" s="358"/>
      <c r="AA16" s="266">
        <f>Y16+Z16</f>
        <v>4470</v>
      </c>
      <c r="AB16" s="232">
        <f>(AA16/O16)</f>
        <v>1.1289589331716927</v>
      </c>
      <c r="AC16" s="178"/>
      <c r="AD16" s="178"/>
    </row>
    <row r="17" spans="1:30" x14ac:dyDescent="0.25">
      <c r="A17" s="180"/>
      <c r="B17" s="274" t="s">
        <v>84</v>
      </c>
      <c r="C17" s="357" t="s">
        <v>83</v>
      </c>
      <c r="D17" s="356">
        <v>314.8</v>
      </c>
      <c r="E17" s="350"/>
      <c r="F17" s="350"/>
      <c r="G17" s="341">
        <f>SUM(D17:F17)</f>
        <v>314.8</v>
      </c>
      <c r="H17" s="355"/>
      <c r="I17" s="266">
        <f>G17+H17</f>
        <v>314.8</v>
      </c>
      <c r="J17" s="356">
        <v>419.5</v>
      </c>
      <c r="K17" s="350"/>
      <c r="L17" s="350"/>
      <c r="M17" s="341">
        <f>SUM(J17:L17)</f>
        <v>419.5</v>
      </c>
      <c r="N17" s="355"/>
      <c r="O17" s="266">
        <f>M17+N17</f>
        <v>419.5</v>
      </c>
      <c r="P17" s="356">
        <v>209.7</v>
      </c>
      <c r="Q17" s="350"/>
      <c r="R17" s="350"/>
      <c r="S17" s="341">
        <f>SUM(P17:R17)</f>
        <v>209.7</v>
      </c>
      <c r="T17" s="355"/>
      <c r="U17" s="266">
        <f>S17+T17</f>
        <v>209.7</v>
      </c>
      <c r="V17" s="356">
        <v>306.8</v>
      </c>
      <c r="W17" s="350"/>
      <c r="X17" s="350"/>
      <c r="Y17" s="341">
        <f>SUM(V17:X17)</f>
        <v>306.8</v>
      </c>
      <c r="Z17" s="355"/>
      <c r="AA17" s="266">
        <f>Y17+Z17</f>
        <v>306.8</v>
      </c>
      <c r="AB17" s="232">
        <f>(AA17/O17)</f>
        <v>0.73134684147794993</v>
      </c>
      <c r="AC17" s="178"/>
      <c r="AD17" s="178"/>
    </row>
    <row r="18" spans="1:30" x14ac:dyDescent="0.25">
      <c r="A18" s="180"/>
      <c r="B18" s="274" t="s">
        <v>82</v>
      </c>
      <c r="C18" s="354" t="s">
        <v>81</v>
      </c>
      <c r="D18" s="476" t="s">
        <v>52</v>
      </c>
      <c r="E18" s="353">
        <v>35673</v>
      </c>
      <c r="F18" s="350"/>
      <c r="G18" s="341">
        <f>SUM(D18:F18)</f>
        <v>35673</v>
      </c>
      <c r="H18" s="352"/>
      <c r="I18" s="266">
        <f>G18+H18</f>
        <v>35673</v>
      </c>
      <c r="J18" s="344"/>
      <c r="K18" s="353">
        <v>38718</v>
      </c>
      <c r="L18" s="350"/>
      <c r="M18" s="341">
        <f>SUM(J18:L18)</f>
        <v>38718</v>
      </c>
      <c r="N18" s="352"/>
      <c r="O18" s="266">
        <f>M18+N18</f>
        <v>38718</v>
      </c>
      <c r="P18" s="344"/>
      <c r="Q18" s="353">
        <v>19359</v>
      </c>
      <c r="R18" s="350"/>
      <c r="S18" s="341">
        <f>SUM(P18:R18)</f>
        <v>19359</v>
      </c>
      <c r="T18" s="352"/>
      <c r="U18" s="266">
        <f>S18+T18</f>
        <v>19359</v>
      </c>
      <c r="V18" s="344"/>
      <c r="W18" s="353">
        <v>43285.7</v>
      </c>
      <c r="X18" s="350"/>
      <c r="Y18" s="341">
        <f>SUM(V18:X18)</f>
        <v>43285.7</v>
      </c>
      <c r="Z18" s="352"/>
      <c r="AA18" s="266">
        <f>Y18+Z18</f>
        <v>43285.7</v>
      </c>
      <c r="AB18" s="232">
        <f>(AA18/O18)</f>
        <v>1.1179735523529106</v>
      </c>
      <c r="AC18" s="178"/>
      <c r="AD18" s="178"/>
    </row>
    <row r="19" spans="1:30" x14ac:dyDescent="0.25">
      <c r="A19" s="180"/>
      <c r="B19" s="274" t="s">
        <v>80</v>
      </c>
      <c r="C19" s="280" t="s">
        <v>79</v>
      </c>
      <c r="D19" s="351">
        <v>43.9</v>
      </c>
      <c r="E19" s="350"/>
      <c r="F19" s="347"/>
      <c r="G19" s="341">
        <f>SUM(D19:F19)</f>
        <v>43.9</v>
      </c>
      <c r="H19" s="345"/>
      <c r="I19" s="266">
        <f>G19+H19</f>
        <v>43.9</v>
      </c>
      <c r="J19" s="351">
        <v>900.4</v>
      </c>
      <c r="K19" s="350"/>
      <c r="L19" s="347"/>
      <c r="M19" s="341">
        <f>SUM(J19:L19)</f>
        <v>900.4</v>
      </c>
      <c r="N19" s="345"/>
      <c r="O19" s="266">
        <f>M19+N19</f>
        <v>900.4</v>
      </c>
      <c r="P19" s="351">
        <v>450.2</v>
      </c>
      <c r="Q19" s="350"/>
      <c r="R19" s="347"/>
      <c r="S19" s="341">
        <f>SUM(P19:R19)</f>
        <v>450.2</v>
      </c>
      <c r="T19" s="345"/>
      <c r="U19" s="266">
        <f>S19+T19</f>
        <v>450.2</v>
      </c>
      <c r="V19" s="351">
        <v>900.4</v>
      </c>
      <c r="W19" s="350"/>
      <c r="X19" s="347"/>
      <c r="Y19" s="341">
        <f>SUM(V19:X19)</f>
        <v>900.4</v>
      </c>
      <c r="Z19" s="345"/>
      <c r="AA19" s="266">
        <f>Y19+Z19</f>
        <v>900.4</v>
      </c>
      <c r="AB19" s="232">
        <f>(AA19/O19)</f>
        <v>1</v>
      </c>
      <c r="AC19" s="178"/>
      <c r="AD19" s="178"/>
    </row>
    <row r="20" spans="1:30" x14ac:dyDescent="0.25">
      <c r="A20" s="180"/>
      <c r="B20" s="274" t="s">
        <v>78</v>
      </c>
      <c r="C20" s="346" t="s">
        <v>77</v>
      </c>
      <c r="D20" s="344">
        <v>646</v>
      </c>
      <c r="E20" s="343"/>
      <c r="F20" s="342"/>
      <c r="G20" s="341"/>
      <c r="H20" s="475" t="s">
        <v>52</v>
      </c>
      <c r="I20" s="266">
        <v>646</v>
      </c>
      <c r="J20" s="344"/>
      <c r="K20" s="343"/>
      <c r="L20" s="342">
        <v>600</v>
      </c>
      <c r="M20" s="341">
        <f>SUM(J20:L20)</f>
        <v>600</v>
      </c>
      <c r="N20" s="345"/>
      <c r="O20" s="266">
        <f>M20+N20</f>
        <v>600</v>
      </c>
      <c r="P20" s="344"/>
      <c r="Q20" s="343">
        <v>334.6</v>
      </c>
      <c r="R20" s="342">
        <v>7.6</v>
      </c>
      <c r="S20" s="341">
        <f>SUM(P20:R20)</f>
        <v>342.20000000000005</v>
      </c>
      <c r="T20" s="345"/>
      <c r="U20" s="266">
        <f>S20+T20</f>
        <v>342.20000000000005</v>
      </c>
      <c r="V20" s="344"/>
      <c r="W20" s="343"/>
      <c r="X20" s="342"/>
      <c r="Y20" s="341">
        <f>SUM(V20:X20)</f>
        <v>0</v>
      </c>
      <c r="Z20" s="345"/>
      <c r="AA20" s="266">
        <f>Y20+Z20</f>
        <v>0</v>
      </c>
      <c r="AB20" s="232">
        <f>(AA20/O20)</f>
        <v>0</v>
      </c>
      <c r="AC20" s="178"/>
      <c r="AD20" s="178"/>
    </row>
    <row r="21" spans="1:30" x14ac:dyDescent="0.25">
      <c r="A21" s="180"/>
      <c r="B21" s="274" t="s">
        <v>76</v>
      </c>
      <c r="C21" s="273" t="s">
        <v>75</v>
      </c>
      <c r="D21" s="344"/>
      <c r="E21" s="343"/>
      <c r="F21" s="342"/>
      <c r="G21" s="341">
        <f>SUM(D21:F21)</f>
        <v>0</v>
      </c>
      <c r="H21" s="336">
        <v>238</v>
      </c>
      <c r="I21" s="266">
        <f>G21+H21</f>
        <v>238</v>
      </c>
      <c r="J21" s="344"/>
      <c r="K21" s="343"/>
      <c r="L21" s="342"/>
      <c r="M21" s="341">
        <f>SUM(J21:L21)</f>
        <v>0</v>
      </c>
      <c r="N21" s="336">
        <v>280</v>
      </c>
      <c r="O21" s="266">
        <f>M21+N21</f>
        <v>280</v>
      </c>
      <c r="P21" s="344"/>
      <c r="Q21" s="343">
        <v>65.2</v>
      </c>
      <c r="R21" s="342"/>
      <c r="S21" s="341">
        <f>SUM(P21:R21)</f>
        <v>65.2</v>
      </c>
      <c r="T21" s="336">
        <v>36.5</v>
      </c>
      <c r="U21" s="266">
        <f>S21+T21</f>
        <v>101.7</v>
      </c>
      <c r="V21" s="344"/>
      <c r="W21" s="474" t="s">
        <v>52</v>
      </c>
      <c r="X21" s="338" t="s">
        <v>52</v>
      </c>
      <c r="Y21" s="341">
        <f>SUM(V21:X21)</f>
        <v>0</v>
      </c>
      <c r="Z21" s="336">
        <v>280</v>
      </c>
      <c r="AA21" s="266">
        <f>Y21+Z21</f>
        <v>280</v>
      </c>
      <c r="AB21" s="232">
        <f>(AA21/O21)</f>
        <v>1</v>
      </c>
      <c r="AC21" s="178"/>
      <c r="AD21" s="178"/>
    </row>
    <row r="22" spans="1:30" x14ac:dyDescent="0.25">
      <c r="A22" s="180"/>
      <c r="B22" s="274" t="s">
        <v>74</v>
      </c>
      <c r="C22" s="273" t="s">
        <v>73</v>
      </c>
      <c r="D22" s="344"/>
      <c r="E22" s="343"/>
      <c r="F22" s="342"/>
      <c r="G22" s="341">
        <f>SUM(D22:F22)</f>
        <v>0</v>
      </c>
      <c r="H22" s="336"/>
      <c r="I22" s="266">
        <f>G22+H22</f>
        <v>0</v>
      </c>
      <c r="J22" s="344"/>
      <c r="K22" s="343"/>
      <c r="L22" s="342"/>
      <c r="M22" s="341">
        <f>SUM(J22:L22)</f>
        <v>0</v>
      </c>
      <c r="N22" s="336">
        <v>280</v>
      </c>
      <c r="O22" s="266">
        <f>M22+N22</f>
        <v>280</v>
      </c>
      <c r="P22" s="344"/>
      <c r="Q22" s="343"/>
      <c r="R22" s="342">
        <v>58.8</v>
      </c>
      <c r="S22" s="341">
        <f>SUM(P22:R22)</f>
        <v>58.8</v>
      </c>
      <c r="T22" s="336"/>
      <c r="U22" s="266">
        <f>S22+T22</f>
        <v>58.8</v>
      </c>
      <c r="V22" s="344"/>
      <c r="W22" s="474" t="s">
        <v>52</v>
      </c>
      <c r="X22" s="338" t="s">
        <v>52</v>
      </c>
      <c r="Y22" s="341">
        <f>SUM(V22:X22)</f>
        <v>0</v>
      </c>
      <c r="Z22" s="336">
        <v>280</v>
      </c>
      <c r="AA22" s="266">
        <f>Y22+Z22</f>
        <v>280</v>
      </c>
      <c r="AB22" s="232">
        <f>(AA22/O22)</f>
        <v>1</v>
      </c>
      <c r="AC22" s="178"/>
      <c r="AD22" s="178"/>
    </row>
    <row r="23" spans="1:30" ht="15.75" thickBot="1" x14ac:dyDescent="0.3">
      <c r="A23" s="180"/>
      <c r="B23" s="335" t="s">
        <v>72</v>
      </c>
      <c r="C23" s="334" t="s">
        <v>71</v>
      </c>
      <c r="D23" s="333"/>
      <c r="E23" s="332"/>
      <c r="F23" s="331"/>
      <c r="G23" s="330">
        <f>SUM(D23:F23)</f>
        <v>0</v>
      </c>
      <c r="H23" s="325"/>
      <c r="I23" s="255">
        <f>G23+H23</f>
        <v>0</v>
      </c>
      <c r="J23" s="333">
        <v>5279.3</v>
      </c>
      <c r="K23" s="332"/>
      <c r="L23" s="331"/>
      <c r="M23" s="330">
        <f>SUM(J23:L23)</f>
        <v>5279.3</v>
      </c>
      <c r="N23" s="325"/>
      <c r="O23" s="255">
        <f>M23+N23</f>
        <v>5279.3</v>
      </c>
      <c r="P23" s="333"/>
      <c r="Q23" s="332"/>
      <c r="R23" s="331"/>
      <c r="S23" s="330">
        <f>SUM(P23:R23)</f>
        <v>0</v>
      </c>
      <c r="T23" s="325"/>
      <c r="U23" s="255">
        <f>S23+T23</f>
        <v>0</v>
      </c>
      <c r="V23" s="333"/>
      <c r="W23" s="332"/>
      <c r="X23" s="331"/>
      <c r="Y23" s="330">
        <f>SUM(V23:X23)</f>
        <v>0</v>
      </c>
      <c r="Z23" s="325"/>
      <c r="AA23" s="255">
        <f>Y23+Z23</f>
        <v>0</v>
      </c>
      <c r="AB23" s="254">
        <f>(AA23/O23)</f>
        <v>0</v>
      </c>
      <c r="AC23" s="178"/>
      <c r="AD23" s="178"/>
    </row>
    <row r="24" spans="1:30" ht="15.75" thickBot="1" x14ac:dyDescent="0.3">
      <c r="A24" s="180"/>
      <c r="B24" s="253" t="s">
        <v>70</v>
      </c>
      <c r="C24" s="324" t="s">
        <v>69</v>
      </c>
      <c r="D24" s="323">
        <f>SUM(D15:D21)</f>
        <v>4914.7</v>
      </c>
      <c r="E24" s="322">
        <f>SUM(E15:E21)</f>
        <v>35673</v>
      </c>
      <c r="F24" s="322">
        <f>SUM(F15:F21)</f>
        <v>1163</v>
      </c>
      <c r="G24" s="321">
        <f>SUM(D24:F24)</f>
        <v>41750.699999999997</v>
      </c>
      <c r="H24" s="320">
        <f>SUM(H15:H21)</f>
        <v>238</v>
      </c>
      <c r="I24" s="320">
        <f>SUM(I15:I21)</f>
        <v>41988.700000000004</v>
      </c>
      <c r="J24" s="323">
        <f>SUM(J15:J21)</f>
        <v>5279.2999999999993</v>
      </c>
      <c r="K24" s="322">
        <f>SUM(K15:K21)</f>
        <v>38718</v>
      </c>
      <c r="L24" s="322">
        <f>SUM(L15:L21)</f>
        <v>3000</v>
      </c>
      <c r="M24" s="321">
        <f>SUM(J24:L24)</f>
        <v>46997.3</v>
      </c>
      <c r="N24" s="320">
        <f>SUM(N15:N21)</f>
        <v>280</v>
      </c>
      <c r="O24" s="320">
        <f>SUM(O15:O21)</f>
        <v>47277.3</v>
      </c>
      <c r="P24" s="323">
        <f>SUM(P15:P21)</f>
        <v>2639.6</v>
      </c>
      <c r="Q24" s="322">
        <f>SUM(Q15:Q21)</f>
        <v>19758.8</v>
      </c>
      <c r="R24" s="322">
        <f>SUM(R15:R21)</f>
        <v>645.6</v>
      </c>
      <c r="S24" s="321">
        <f>SUM(P24:R24)</f>
        <v>23043.999999999996</v>
      </c>
      <c r="T24" s="320">
        <f>SUM(T15:T21)</f>
        <v>36.5</v>
      </c>
      <c r="U24" s="320">
        <f>SUM(U15:U21)</f>
        <v>23080.500000000004</v>
      </c>
      <c r="V24" s="323">
        <f>SUM(V15:V21)</f>
        <v>5677.2</v>
      </c>
      <c r="W24" s="322">
        <f>SUM(W15:W21)</f>
        <v>43285.7</v>
      </c>
      <c r="X24" s="322">
        <f>SUM(X15:X21)</f>
        <v>2400</v>
      </c>
      <c r="Y24" s="321">
        <f>SUM(V24:X24)</f>
        <v>51362.899999999994</v>
      </c>
      <c r="Z24" s="320">
        <f>SUM(Z15:Z21)</f>
        <v>280</v>
      </c>
      <c r="AA24" s="320">
        <f>SUM(AA15:AA21)</f>
        <v>51642.9</v>
      </c>
      <c r="AB24" s="319">
        <f>(AA24/O24)</f>
        <v>1.0923402986211141</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359</v>
      </c>
      <c r="E28" s="287"/>
      <c r="F28" s="287"/>
      <c r="G28" s="286">
        <f>SUM(D28:F28)</f>
        <v>359</v>
      </c>
      <c r="H28" s="286"/>
      <c r="I28" s="285">
        <f>G28+H28</f>
        <v>359</v>
      </c>
      <c r="J28" s="288">
        <v>350</v>
      </c>
      <c r="K28" s="287"/>
      <c r="L28" s="287">
        <v>600</v>
      </c>
      <c r="M28" s="286">
        <f>SUM(J28:L28)</f>
        <v>950</v>
      </c>
      <c r="N28" s="286"/>
      <c r="O28" s="285">
        <f>M28+N28</f>
        <v>950</v>
      </c>
      <c r="P28" s="288">
        <v>85.5</v>
      </c>
      <c r="Q28" s="287"/>
      <c r="R28" s="287">
        <v>617.29999999999995</v>
      </c>
      <c r="S28" s="286">
        <f>SUM(P28:R28)</f>
        <v>702.8</v>
      </c>
      <c r="T28" s="286"/>
      <c r="U28" s="285">
        <f>S28+T28</f>
        <v>702.8</v>
      </c>
      <c r="V28" s="288">
        <v>380</v>
      </c>
      <c r="W28" s="287"/>
      <c r="X28" s="287"/>
      <c r="Y28" s="286">
        <f>SUM(V28:X28)</f>
        <v>380</v>
      </c>
      <c r="Z28" s="286"/>
      <c r="AA28" s="285">
        <f>Y28+Z28</f>
        <v>380</v>
      </c>
      <c r="AB28" s="232">
        <f>(AA28/O28)</f>
        <v>0.4</v>
      </c>
      <c r="AC28" s="178"/>
      <c r="AD28" s="178"/>
    </row>
    <row r="29" spans="1:30" x14ac:dyDescent="0.25">
      <c r="A29" s="180"/>
      <c r="B29" s="274" t="s">
        <v>56</v>
      </c>
      <c r="C29" s="284" t="s">
        <v>55</v>
      </c>
      <c r="D29" s="282">
        <v>566</v>
      </c>
      <c r="E29" s="282"/>
      <c r="F29" s="282">
        <v>1072</v>
      </c>
      <c r="G29" s="263">
        <f>SUM(D29:F29)</f>
        <v>1638</v>
      </c>
      <c r="H29" s="281">
        <v>7.5</v>
      </c>
      <c r="I29" s="266">
        <f>G29+H29</f>
        <v>1645.5</v>
      </c>
      <c r="J29" s="283">
        <v>310.10000000000002</v>
      </c>
      <c r="K29" s="282"/>
      <c r="L29" s="282">
        <v>2200</v>
      </c>
      <c r="M29" s="263">
        <f>SUM(J29:L29)</f>
        <v>2510.1</v>
      </c>
      <c r="N29" s="281">
        <v>22</v>
      </c>
      <c r="O29" s="266">
        <f>M29+N29</f>
        <v>2532.1</v>
      </c>
      <c r="P29" s="283">
        <v>135</v>
      </c>
      <c r="Q29" s="282">
        <v>339.7</v>
      </c>
      <c r="R29" s="282"/>
      <c r="S29" s="263">
        <f>SUM(P29:R29)</f>
        <v>474.7</v>
      </c>
      <c r="T29" s="281"/>
      <c r="U29" s="266">
        <f>S29+T29</f>
        <v>474.7</v>
      </c>
      <c r="V29" s="283">
        <v>450</v>
      </c>
      <c r="W29" s="282"/>
      <c r="X29" s="282">
        <v>2400</v>
      </c>
      <c r="Y29" s="263">
        <f>SUM(V29:X29)</f>
        <v>2850</v>
      </c>
      <c r="Z29" s="281">
        <v>22</v>
      </c>
      <c r="AA29" s="266">
        <f>Y29+Z29</f>
        <v>2872</v>
      </c>
      <c r="AB29" s="232">
        <f>(AA29/O29)</f>
        <v>1.1342364045653806</v>
      </c>
      <c r="AC29" s="178"/>
      <c r="AD29" s="178"/>
    </row>
    <row r="30" spans="1:30" x14ac:dyDescent="0.25">
      <c r="A30" s="180"/>
      <c r="B30" s="274" t="s">
        <v>54</v>
      </c>
      <c r="C30" s="273" t="s">
        <v>53</v>
      </c>
      <c r="D30" s="267">
        <v>1629</v>
      </c>
      <c r="E30" s="267"/>
      <c r="F30" s="267" t="s">
        <v>52</v>
      </c>
      <c r="G30" s="263">
        <f>SUM(D30:F30)</f>
        <v>1629</v>
      </c>
      <c r="H30" s="263">
        <v>47.9</v>
      </c>
      <c r="I30" s="266">
        <f>G30+H30</f>
        <v>1676.9</v>
      </c>
      <c r="J30" s="268">
        <v>1980</v>
      </c>
      <c r="K30" s="267"/>
      <c r="L30" s="267"/>
      <c r="M30" s="263">
        <f>SUM(J30:L30)</f>
        <v>1980</v>
      </c>
      <c r="N30" s="263">
        <v>258</v>
      </c>
      <c r="O30" s="266">
        <f>M30+N30</f>
        <v>2238</v>
      </c>
      <c r="P30" s="268">
        <v>1120</v>
      </c>
      <c r="Q30" s="267"/>
      <c r="R30" s="267">
        <v>7</v>
      </c>
      <c r="S30" s="263">
        <f>SUM(P30:R30)</f>
        <v>1127</v>
      </c>
      <c r="T30" s="263"/>
      <c r="U30" s="266">
        <f>S30+T30</f>
        <v>1127</v>
      </c>
      <c r="V30" s="268">
        <v>2300</v>
      </c>
      <c r="W30" s="267"/>
      <c r="X30" s="267"/>
      <c r="Y30" s="263">
        <f>SUM(V30:X30)</f>
        <v>2300</v>
      </c>
      <c r="Z30" s="263">
        <v>258</v>
      </c>
      <c r="AA30" s="266">
        <f>Y30+Z30</f>
        <v>2558</v>
      </c>
      <c r="AB30" s="232">
        <f>(AA30/O30)</f>
        <v>1.1429848078641645</v>
      </c>
      <c r="AC30" s="178"/>
      <c r="AD30" s="178"/>
    </row>
    <row r="31" spans="1:30" x14ac:dyDescent="0.25">
      <c r="A31" s="180"/>
      <c r="B31" s="274" t="s">
        <v>51</v>
      </c>
      <c r="C31" s="273" t="s">
        <v>50</v>
      </c>
      <c r="D31" s="267">
        <v>806</v>
      </c>
      <c r="E31" s="267"/>
      <c r="F31" s="267"/>
      <c r="G31" s="263">
        <f>SUM(D31:F31)</f>
        <v>806</v>
      </c>
      <c r="H31" s="263"/>
      <c r="I31" s="266">
        <f>G31+H31</f>
        <v>806</v>
      </c>
      <c r="J31" s="268">
        <v>720</v>
      </c>
      <c r="K31" s="267"/>
      <c r="L31" s="267">
        <v>100</v>
      </c>
      <c r="M31" s="263">
        <f>SUM(J31:L31)</f>
        <v>820</v>
      </c>
      <c r="N31" s="263"/>
      <c r="O31" s="266">
        <f>M31+N31</f>
        <v>820</v>
      </c>
      <c r="P31" s="268">
        <v>289</v>
      </c>
      <c r="Q31" s="267"/>
      <c r="R31" s="267"/>
      <c r="S31" s="263">
        <f>SUM(P31:R31)</f>
        <v>289</v>
      </c>
      <c r="T31" s="263"/>
      <c r="U31" s="266">
        <f>S31+T31</f>
        <v>289</v>
      </c>
      <c r="V31" s="268">
        <v>956.8</v>
      </c>
      <c r="W31" s="267"/>
      <c r="X31" s="267"/>
      <c r="Y31" s="263">
        <f>SUM(V31:X31)</f>
        <v>956.8</v>
      </c>
      <c r="Z31" s="263"/>
      <c r="AA31" s="266">
        <f>Y31+Z31</f>
        <v>956.8</v>
      </c>
      <c r="AB31" s="232">
        <f>(AA31/O31)</f>
        <v>1.1668292682926829</v>
      </c>
      <c r="AC31" s="178"/>
      <c r="AD31" s="178"/>
    </row>
    <row r="32" spans="1:30" x14ac:dyDescent="0.25">
      <c r="A32" s="180"/>
      <c r="B32" s="274" t="s">
        <v>49</v>
      </c>
      <c r="C32" s="273" t="s">
        <v>48</v>
      </c>
      <c r="D32" s="473" t="s">
        <v>52</v>
      </c>
      <c r="E32" s="267">
        <v>26085</v>
      </c>
      <c r="F32" s="267"/>
      <c r="G32" s="263">
        <f>SUM(D32:F32)</f>
        <v>26085</v>
      </c>
      <c r="H32" s="263"/>
      <c r="I32" s="266">
        <f>G32+H32</f>
        <v>26085</v>
      </c>
      <c r="J32" s="275">
        <v>259.39999999999998</v>
      </c>
      <c r="K32" s="267">
        <v>27649.1</v>
      </c>
      <c r="L32" s="267"/>
      <c r="M32" s="263">
        <f>SUM(J32:L32)</f>
        <v>27908.5</v>
      </c>
      <c r="N32" s="263"/>
      <c r="O32" s="266">
        <f>M32+N32</f>
        <v>27908.5</v>
      </c>
      <c r="P32" s="275"/>
      <c r="Q32" s="267">
        <v>12524.6</v>
      </c>
      <c r="R32" s="267"/>
      <c r="S32" s="263">
        <f>SUM(P32:R32)</f>
        <v>12524.6</v>
      </c>
      <c r="T32" s="263"/>
      <c r="U32" s="266">
        <f>S32+T32</f>
        <v>12524.6</v>
      </c>
      <c r="V32" s="276">
        <v>0</v>
      </c>
      <c r="W32" s="267">
        <v>32480.7</v>
      </c>
      <c r="X32" s="267"/>
      <c r="Y32" s="263">
        <f>SUM(V32:X32)</f>
        <v>32480.7</v>
      </c>
      <c r="Z32" s="263"/>
      <c r="AA32" s="266">
        <f>Y32+Z32</f>
        <v>32480.7</v>
      </c>
      <c r="AB32" s="232">
        <f>(AA32/O32)</f>
        <v>1.1638282243760862</v>
      </c>
      <c r="AC32" s="178"/>
      <c r="AD32" s="178"/>
    </row>
    <row r="33" spans="1:30" x14ac:dyDescent="0.25">
      <c r="A33" s="180"/>
      <c r="B33" s="274" t="s">
        <v>47</v>
      </c>
      <c r="C33" s="280" t="s">
        <v>46</v>
      </c>
      <c r="D33" s="473" t="s">
        <v>52</v>
      </c>
      <c r="E33" s="267">
        <v>26060</v>
      </c>
      <c r="F33" s="267"/>
      <c r="G33" s="263">
        <f>SUM(D33:F33)</f>
        <v>26060</v>
      </c>
      <c r="H33" s="263"/>
      <c r="I33" s="266">
        <f>G33+H33</f>
        <v>26060</v>
      </c>
      <c r="J33" s="275"/>
      <c r="K33" s="267">
        <v>27609.1</v>
      </c>
      <c r="L33" s="267"/>
      <c r="M33" s="263">
        <f>SUM(J33:L33)</f>
        <v>27609.1</v>
      </c>
      <c r="N33" s="263"/>
      <c r="O33" s="266">
        <f>M33+N33</f>
        <v>27609.1</v>
      </c>
      <c r="P33" s="275"/>
      <c r="Q33" s="267">
        <v>12191.8</v>
      </c>
      <c r="R33" s="267"/>
      <c r="S33" s="263">
        <f>SUM(P33:R33)</f>
        <v>12191.8</v>
      </c>
      <c r="T33" s="263"/>
      <c r="U33" s="266">
        <f>S33+T33</f>
        <v>12191.8</v>
      </c>
      <c r="V33" s="276" t="s">
        <v>52</v>
      </c>
      <c r="W33" s="267">
        <v>32330.7</v>
      </c>
      <c r="X33" s="267"/>
      <c r="Y33" s="263">
        <f>SUM(V33:X33)</f>
        <v>32330.7</v>
      </c>
      <c r="Z33" s="263"/>
      <c r="AA33" s="266">
        <f>Y33+Z33</f>
        <v>32330.7</v>
      </c>
      <c r="AB33" s="232">
        <f>(AA33/O33)</f>
        <v>1.1710160780322432</v>
      </c>
      <c r="AC33" s="178"/>
      <c r="AD33" s="178"/>
    </row>
    <row r="34" spans="1:30" x14ac:dyDescent="0.25">
      <c r="A34" s="180"/>
      <c r="B34" s="274" t="s">
        <v>45</v>
      </c>
      <c r="C34" s="278" t="s">
        <v>44</v>
      </c>
      <c r="D34" s="473" t="s">
        <v>52</v>
      </c>
      <c r="E34" s="267">
        <v>25</v>
      </c>
      <c r="F34" s="267"/>
      <c r="G34" s="263">
        <f>SUM(D34:F34)</f>
        <v>25</v>
      </c>
      <c r="H34" s="263"/>
      <c r="I34" s="266">
        <f>G34+H34</f>
        <v>25</v>
      </c>
      <c r="J34" s="275"/>
      <c r="K34" s="267">
        <v>40</v>
      </c>
      <c r="L34" s="267"/>
      <c r="M34" s="263">
        <f>SUM(J34:L34)</f>
        <v>40</v>
      </c>
      <c r="N34" s="263"/>
      <c r="O34" s="266">
        <f>M34+N34</f>
        <v>40</v>
      </c>
      <c r="P34" s="275" t="s">
        <v>52</v>
      </c>
      <c r="Q34" s="267">
        <v>35.299999999999997</v>
      </c>
      <c r="R34" s="267"/>
      <c r="S34" s="263">
        <f>SUM(P34:R34)</f>
        <v>35.299999999999997</v>
      </c>
      <c r="T34" s="263"/>
      <c r="U34" s="266">
        <f>S34+T34</f>
        <v>35.299999999999997</v>
      </c>
      <c r="V34" s="276" t="s">
        <v>52</v>
      </c>
      <c r="W34" s="267">
        <v>150</v>
      </c>
      <c r="X34" s="267"/>
      <c r="Y34" s="263">
        <f>SUM(V34:X34)</f>
        <v>150</v>
      </c>
      <c r="Z34" s="263"/>
      <c r="AA34" s="266">
        <f>Y34+Z34</f>
        <v>150</v>
      </c>
      <c r="AB34" s="232">
        <f>(AA34/O34)</f>
        <v>3.75</v>
      </c>
      <c r="AC34" s="178"/>
      <c r="AD34" s="178"/>
    </row>
    <row r="35" spans="1:30" x14ac:dyDescent="0.25">
      <c r="A35" s="180"/>
      <c r="B35" s="274" t="s">
        <v>43</v>
      </c>
      <c r="C35" s="273" t="s">
        <v>42</v>
      </c>
      <c r="D35" s="473" t="s">
        <v>52</v>
      </c>
      <c r="E35" s="267">
        <v>8737</v>
      </c>
      <c r="F35" s="267"/>
      <c r="G35" s="263">
        <f>SUM(D35:F35)</f>
        <v>8737</v>
      </c>
      <c r="H35" s="263"/>
      <c r="I35" s="266">
        <f>G35+H35</f>
        <v>8737</v>
      </c>
      <c r="J35" s="275"/>
      <c r="K35" s="267">
        <v>9897.6</v>
      </c>
      <c r="L35" s="267"/>
      <c r="M35" s="263">
        <f>SUM(J35:L35)</f>
        <v>9897.6</v>
      </c>
      <c r="N35" s="263"/>
      <c r="O35" s="266">
        <f>M35+N35</f>
        <v>9897.6</v>
      </c>
      <c r="P35" s="275"/>
      <c r="Q35" s="267">
        <v>4174.8</v>
      </c>
      <c r="R35" s="267"/>
      <c r="S35" s="263">
        <f>SUM(P35:R35)</f>
        <v>4174.8</v>
      </c>
      <c r="T35" s="263"/>
      <c r="U35" s="266">
        <f>S35+T35</f>
        <v>4174.8</v>
      </c>
      <c r="V35" s="276" t="s">
        <v>52</v>
      </c>
      <c r="W35" s="267">
        <v>10805</v>
      </c>
      <c r="X35" s="267"/>
      <c r="Y35" s="263">
        <f>SUM(V35:X35)</f>
        <v>10805</v>
      </c>
      <c r="Z35" s="263"/>
      <c r="AA35" s="266">
        <f>Y35+Z35</f>
        <v>10805</v>
      </c>
      <c r="AB35" s="232">
        <f>(AA35/O35)</f>
        <v>1.0916787908179761</v>
      </c>
      <c r="AC35" s="178"/>
      <c r="AD35" s="178"/>
    </row>
    <row r="36" spans="1:30" x14ac:dyDescent="0.25">
      <c r="A36" s="180"/>
      <c r="B36" s="274" t="s">
        <v>41</v>
      </c>
      <c r="C36" s="273" t="s">
        <v>40</v>
      </c>
      <c r="D36" s="267" t="s">
        <v>52</v>
      </c>
      <c r="E36" s="267"/>
      <c r="F36" s="267"/>
      <c r="G36" s="263">
        <f>SUM(D36:F36)</f>
        <v>0</v>
      </c>
      <c r="H36" s="263"/>
      <c r="I36" s="266">
        <f>G36+H36</f>
        <v>0</v>
      </c>
      <c r="J36" s="268"/>
      <c r="K36" s="267"/>
      <c r="L36" s="267"/>
      <c r="M36" s="263">
        <f>SUM(J36:L36)</f>
        <v>0</v>
      </c>
      <c r="N36" s="263"/>
      <c r="O36" s="266">
        <f>M36+N36</f>
        <v>0</v>
      </c>
      <c r="P36" s="268"/>
      <c r="Q36" s="267"/>
      <c r="R36" s="267"/>
      <c r="S36" s="263">
        <f>SUM(P36:R36)</f>
        <v>0</v>
      </c>
      <c r="T36" s="263"/>
      <c r="U36" s="266">
        <f>S36+T36</f>
        <v>0</v>
      </c>
      <c r="V36" s="271" t="s">
        <v>52</v>
      </c>
      <c r="W36" s="267"/>
      <c r="X36" s="267"/>
      <c r="Y36" s="263">
        <f>SUM(V36:X36)</f>
        <v>0</v>
      </c>
      <c r="Z36" s="263"/>
      <c r="AA36" s="266">
        <f>Y36+Z36</f>
        <v>0</v>
      </c>
      <c r="AB36" s="232" t="e">
        <f>(AA36/O36)</f>
        <v>#DIV/0!</v>
      </c>
      <c r="AC36" s="178"/>
      <c r="AD36" s="178"/>
    </row>
    <row r="37" spans="1:30" x14ac:dyDescent="0.25">
      <c r="A37" s="180"/>
      <c r="B37" s="274" t="s">
        <v>39</v>
      </c>
      <c r="C37" s="273" t="s">
        <v>38</v>
      </c>
      <c r="D37" s="267">
        <v>771</v>
      </c>
      <c r="E37" s="267"/>
      <c r="F37" s="267"/>
      <c r="G37" s="263">
        <f>SUM(D37:F37)</f>
        <v>771</v>
      </c>
      <c r="H37" s="263"/>
      <c r="I37" s="266">
        <f>G37+H37</f>
        <v>771</v>
      </c>
      <c r="J37" s="268">
        <v>1412.8</v>
      </c>
      <c r="K37" s="267"/>
      <c r="L37" s="267"/>
      <c r="M37" s="263">
        <f>SUM(J37:L37)</f>
        <v>1412.8</v>
      </c>
      <c r="N37" s="263"/>
      <c r="O37" s="266">
        <f>M37+N37</f>
        <v>1412.8</v>
      </c>
      <c r="P37" s="268">
        <v>706.4</v>
      </c>
      <c r="Q37" s="267"/>
      <c r="R37" s="267"/>
      <c r="S37" s="263">
        <f>SUM(P37:R37)</f>
        <v>706.4</v>
      </c>
      <c r="T37" s="263"/>
      <c r="U37" s="266">
        <f>S37+T37</f>
        <v>706.4</v>
      </c>
      <c r="V37" s="268">
        <v>1396.6</v>
      </c>
      <c r="W37" s="267"/>
      <c r="X37" s="267"/>
      <c r="Y37" s="263">
        <f>SUM(V37:X37)</f>
        <v>1396.6</v>
      </c>
      <c r="Z37" s="263"/>
      <c r="AA37" s="266">
        <f>Y37+Z37</f>
        <v>1396.6</v>
      </c>
      <c r="AB37" s="232">
        <f>(AA37/O37)</f>
        <v>0.98853340883352203</v>
      </c>
      <c r="AC37" s="178"/>
      <c r="AD37" s="178"/>
    </row>
    <row r="38" spans="1:30" ht="15.75" thickBot="1" x14ac:dyDescent="0.3">
      <c r="A38" s="180"/>
      <c r="B38" s="265" t="s">
        <v>37</v>
      </c>
      <c r="C38" s="264" t="s">
        <v>36</v>
      </c>
      <c r="D38" s="257">
        <v>811.9</v>
      </c>
      <c r="E38" s="257">
        <v>851</v>
      </c>
      <c r="F38" s="257"/>
      <c r="G38" s="263">
        <f>SUM(D38:F38)</f>
        <v>1662.9</v>
      </c>
      <c r="H38" s="256"/>
      <c r="I38" s="255">
        <f>G38+H38</f>
        <v>1662.9</v>
      </c>
      <c r="J38" s="258">
        <v>247</v>
      </c>
      <c r="K38" s="257">
        <v>1171.3</v>
      </c>
      <c r="L38" s="257">
        <v>100</v>
      </c>
      <c r="M38" s="256">
        <f>SUM(J38:L38)</f>
        <v>1518.3</v>
      </c>
      <c r="N38" s="256"/>
      <c r="O38" s="255">
        <f>M38+N38</f>
        <v>1518.3</v>
      </c>
      <c r="P38" s="258">
        <v>155.4</v>
      </c>
      <c r="Q38" s="257">
        <v>555.5</v>
      </c>
      <c r="R38" s="257">
        <v>48.5</v>
      </c>
      <c r="S38" s="256">
        <f>SUM(P38:R38)</f>
        <v>759.4</v>
      </c>
      <c r="T38" s="256"/>
      <c r="U38" s="255">
        <f>S38+T38</f>
        <v>759.4</v>
      </c>
      <c r="V38" s="258">
        <v>193.8</v>
      </c>
      <c r="W38" s="257"/>
      <c r="X38" s="257"/>
      <c r="Y38" s="256">
        <f>SUM(V38:X38)</f>
        <v>193.8</v>
      </c>
      <c r="Z38" s="256"/>
      <c r="AA38" s="255">
        <f>Y38+Z38</f>
        <v>193.8</v>
      </c>
      <c r="AB38" s="254">
        <f>(AA38/O38)</f>
        <v>0.12764275834815256</v>
      </c>
      <c r="AC38" s="178"/>
      <c r="AD38" s="178"/>
    </row>
    <row r="39" spans="1:30" ht="15.75" thickBot="1" x14ac:dyDescent="0.3">
      <c r="A39" s="180"/>
      <c r="B39" s="253" t="s">
        <v>35</v>
      </c>
      <c r="C39" s="252" t="s">
        <v>34</v>
      </c>
      <c r="D39" s="251">
        <f>SUM(D35:D38)+SUM(D28:D32)</f>
        <v>4942.8999999999996</v>
      </c>
      <c r="E39" s="251">
        <f>SUM(E35:E38)+SUM(E28:E32)</f>
        <v>35673</v>
      </c>
      <c r="F39" s="251">
        <f>SUM(F35:F38)+SUM(F28:F32)</f>
        <v>1072</v>
      </c>
      <c r="G39" s="250">
        <f>SUM(D39:F39)</f>
        <v>41687.9</v>
      </c>
      <c r="H39" s="249">
        <f>SUM(H28:H32)+SUM(H35:H38)</f>
        <v>55.4</v>
      </c>
      <c r="I39" s="248">
        <f>SUM(I35:I38)+SUM(I28:I32)</f>
        <v>41743.300000000003</v>
      </c>
      <c r="J39" s="251">
        <f>SUM(J35:J38)+SUM(J28:J32)</f>
        <v>5279.3</v>
      </c>
      <c r="K39" s="251">
        <f>SUM(K35:K38)+SUM(K28:K32)</f>
        <v>38718</v>
      </c>
      <c r="L39" s="251">
        <f>SUM(L35:L38)+SUM(L28:L32)</f>
        <v>3000</v>
      </c>
      <c r="M39" s="250">
        <f>SUM(J39:L39)</f>
        <v>46997.3</v>
      </c>
      <c r="N39" s="249">
        <f>SUM(N28:N32)+SUM(N35:N38)</f>
        <v>280</v>
      </c>
      <c r="O39" s="248">
        <f>SUM(O35:O38)+SUM(O28:O32)</f>
        <v>47277.299999999996</v>
      </c>
      <c r="P39" s="251">
        <f>SUM(P35:P38)+SUM(P28:P32)</f>
        <v>2491.3000000000002</v>
      </c>
      <c r="Q39" s="251">
        <f>SUM(Q35:Q38)+SUM(Q28:Q32)</f>
        <v>17594.600000000002</v>
      </c>
      <c r="R39" s="251">
        <f>SUM(R35:R38)+SUM(R28:R32)</f>
        <v>672.8</v>
      </c>
      <c r="S39" s="250">
        <f>SUM(P39:R39)</f>
        <v>20758.7</v>
      </c>
      <c r="T39" s="249">
        <f>SUM(T28:T32)+SUM(T35:T38)</f>
        <v>0</v>
      </c>
      <c r="U39" s="248">
        <f>SUM(U35:U38)+SUM(U28:U32)</f>
        <v>20758.7</v>
      </c>
      <c r="V39" s="251">
        <f>SUM(V35:V38)+SUM(V28:V32)</f>
        <v>5677.2</v>
      </c>
      <c r="W39" s="251">
        <f>SUM(W35:W38)+SUM(W28:W32)</f>
        <v>43285.7</v>
      </c>
      <c r="X39" s="251">
        <f>SUM(X35:X38)+SUM(X28:X32)</f>
        <v>2400</v>
      </c>
      <c r="Y39" s="250">
        <f>SUM(V39:X39)</f>
        <v>51362.899999999994</v>
      </c>
      <c r="Z39" s="249">
        <f>SUM(Z28:Z32)+SUM(Z35:Z38)</f>
        <v>280</v>
      </c>
      <c r="AA39" s="248">
        <f>SUM(AA35:AA38)+SUM(AA28:AA32)</f>
        <v>51642.9</v>
      </c>
      <c r="AB39" s="247">
        <f>(AA39/O39)</f>
        <v>1.0923402986211144</v>
      </c>
      <c r="AC39" s="178"/>
      <c r="AD39" s="178"/>
    </row>
    <row r="40" spans="1:30" ht="19.5" thickBot="1" x14ac:dyDescent="0.35">
      <c r="A40" s="180"/>
      <c r="B40" s="246" t="s">
        <v>33</v>
      </c>
      <c r="C40" s="245" t="s">
        <v>32</v>
      </c>
      <c r="D40" s="244">
        <f>D24-D39</f>
        <v>-28.199999999999818</v>
      </c>
      <c r="E40" s="244">
        <f>E24-E39</f>
        <v>0</v>
      </c>
      <c r="F40" s="244">
        <f>F24-F39</f>
        <v>91</v>
      </c>
      <c r="G40" s="243">
        <f>G24-G39</f>
        <v>62.799999999995634</v>
      </c>
      <c r="H40" s="243">
        <f>H24-H39</f>
        <v>182.6</v>
      </c>
      <c r="I40" s="242">
        <f>I24-I39</f>
        <v>245.40000000000146</v>
      </c>
      <c r="J40" s="244">
        <f>J24-J39</f>
        <v>0</v>
      </c>
      <c r="K40" s="244">
        <f>K24-K39</f>
        <v>0</v>
      </c>
      <c r="L40" s="244">
        <f>L24-L39</f>
        <v>0</v>
      </c>
      <c r="M40" s="243">
        <f>M24-M39</f>
        <v>0</v>
      </c>
      <c r="N40" s="243">
        <f>N24-N39</f>
        <v>0</v>
      </c>
      <c r="O40" s="242">
        <f>O24-O39</f>
        <v>0</v>
      </c>
      <c r="P40" s="244">
        <f>P24-P39</f>
        <v>148.29999999999973</v>
      </c>
      <c r="Q40" s="244">
        <f>Q24-Q39</f>
        <v>2164.1999999999971</v>
      </c>
      <c r="R40" s="244">
        <f>R24-R39</f>
        <v>-27.199999999999932</v>
      </c>
      <c r="S40" s="243">
        <f>S24-S39</f>
        <v>2285.2999999999956</v>
      </c>
      <c r="T40" s="243">
        <f>T24-T39</f>
        <v>36.5</v>
      </c>
      <c r="U40" s="242">
        <f>U24-U39</f>
        <v>2321.8000000000029</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-3664.5999999999985</v>
      </c>
      <c r="J41" s="237"/>
      <c r="K41" s="236"/>
      <c r="L41" s="236"/>
      <c r="M41" s="235"/>
      <c r="N41" s="234"/>
      <c r="O41" s="233">
        <f>O40-J16</f>
        <v>-3959.4</v>
      </c>
      <c r="P41" s="237"/>
      <c r="Q41" s="236"/>
      <c r="R41" s="236"/>
      <c r="S41" s="235"/>
      <c r="T41" s="234"/>
      <c r="U41" s="233">
        <f>U40-P16</f>
        <v>342.10000000000286</v>
      </c>
      <c r="V41" s="237"/>
      <c r="W41" s="236"/>
      <c r="X41" s="236"/>
      <c r="Y41" s="235"/>
      <c r="Z41" s="234"/>
      <c r="AA41" s="233">
        <f>AA40-V16</f>
        <v>-4470</v>
      </c>
      <c r="AB41" s="232">
        <f>(AA41/O41)</f>
        <v>1.1289589331716927</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304.10000000000002</v>
      </c>
      <c r="E44" s="225">
        <v>304.10000000000002</v>
      </c>
      <c r="F44" s="224">
        <v>0</v>
      </c>
      <c r="G44" s="202"/>
      <c r="H44" s="202"/>
      <c r="I44" s="201"/>
      <c r="J44" s="214">
        <v>321.89999999999998</v>
      </c>
      <c r="K44" s="225">
        <v>321.89999999999998</v>
      </c>
      <c r="L44" s="224">
        <v>0</v>
      </c>
      <c r="M44" s="223"/>
      <c r="N44" s="223"/>
      <c r="O44" s="223"/>
      <c r="P44" s="214">
        <v>160.94999999999999</v>
      </c>
      <c r="Q44" s="225">
        <v>161</v>
      </c>
      <c r="R44" s="224">
        <v>0</v>
      </c>
      <c r="S44" s="178"/>
      <c r="T44" s="178"/>
      <c r="U44" s="178"/>
      <c r="V44" s="214">
        <v>321.89999999999998</v>
      </c>
      <c r="W44" s="225">
        <v>321.89999999999998</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t="s">
        <v>52</v>
      </c>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v>3927.7</v>
      </c>
      <c r="E50" s="210">
        <v>980</v>
      </c>
      <c r="F50" s="210">
        <v>1159.5999999999999</v>
      </c>
      <c r="G50" s="209">
        <f>D50+E50-F50</f>
        <v>3748.1</v>
      </c>
      <c r="H50" s="202"/>
      <c r="I50" s="178"/>
      <c r="J50" s="210">
        <v>3748.1</v>
      </c>
      <c r="K50" s="210">
        <v>1310</v>
      </c>
      <c r="L50" s="210">
        <v>2644.4</v>
      </c>
      <c r="M50" s="209">
        <v>2415.6999999999998</v>
      </c>
      <c r="N50" s="178"/>
      <c r="O50" s="178"/>
      <c r="P50" s="210">
        <v>3748.1</v>
      </c>
      <c r="Q50" s="210">
        <v>759.7</v>
      </c>
      <c r="R50" s="210">
        <v>1274.7</v>
      </c>
      <c r="S50" s="209">
        <f>P50+Q50-R50</f>
        <v>3233.1000000000004</v>
      </c>
      <c r="T50" s="178"/>
      <c r="U50" s="178"/>
      <c r="V50" s="209">
        <f>S50+T50-U50</f>
        <v>3233.1000000000004</v>
      </c>
      <c r="W50" s="210">
        <v>1367.4</v>
      </c>
      <c r="X50" s="210">
        <v>1781.9</v>
      </c>
      <c r="Y50" s="209">
        <f>V50+W50-X50</f>
        <v>2818.6</v>
      </c>
      <c r="Z50" s="178"/>
      <c r="AA50" s="178"/>
      <c r="AB50" s="178"/>
      <c r="AC50" s="178"/>
      <c r="AD50" s="178"/>
    </row>
    <row r="51" spans="1:30" x14ac:dyDescent="0.25">
      <c r="A51" s="180"/>
      <c r="B51" s="204"/>
      <c r="C51" s="206" t="s">
        <v>15</v>
      </c>
      <c r="D51" s="210">
        <v>1722</v>
      </c>
      <c r="E51" s="210">
        <v>12</v>
      </c>
      <c r="F51" s="210">
        <v>592.70000000000005</v>
      </c>
      <c r="G51" s="209">
        <f>D51+E51-F51</f>
        <v>1141.3</v>
      </c>
      <c r="H51" s="202"/>
      <c r="I51" s="178"/>
      <c r="J51" s="210">
        <v>1141.3</v>
      </c>
      <c r="K51" s="210">
        <v>196.4</v>
      </c>
      <c r="L51" s="210">
        <v>890.5</v>
      </c>
      <c r="M51" s="209">
        <v>447.2</v>
      </c>
      <c r="N51" s="178"/>
      <c r="O51" s="178"/>
      <c r="P51" s="210">
        <v>1141.3</v>
      </c>
      <c r="Q51" s="210">
        <v>206.4</v>
      </c>
      <c r="R51" s="210">
        <v>890.5</v>
      </c>
      <c r="S51" s="209">
        <f>P51+Q51-R51</f>
        <v>457.20000000000005</v>
      </c>
      <c r="T51" s="178"/>
      <c r="U51" s="178"/>
      <c r="V51" s="209">
        <f>S51+T51-U51</f>
        <v>457.20000000000005</v>
      </c>
      <c r="W51" s="210">
        <v>250</v>
      </c>
      <c r="X51" s="210">
        <v>100</v>
      </c>
      <c r="Y51" s="209">
        <f>V51+W51-X51</f>
        <v>607.20000000000005</v>
      </c>
      <c r="Z51" s="178"/>
      <c r="AA51" s="178"/>
      <c r="AB51" s="178"/>
      <c r="AC51" s="178"/>
      <c r="AD51" s="178"/>
    </row>
    <row r="52" spans="1:30" x14ac:dyDescent="0.25">
      <c r="A52" s="180"/>
      <c r="B52" s="204"/>
      <c r="C52" s="206" t="s">
        <v>14</v>
      </c>
      <c r="D52" s="210">
        <v>1300.8</v>
      </c>
      <c r="E52" s="210">
        <v>446.8</v>
      </c>
      <c r="F52" s="210">
        <v>326.60000000000002</v>
      </c>
      <c r="G52" s="209">
        <f>D52+E52-F52</f>
        <v>1421</v>
      </c>
      <c r="H52" s="202"/>
      <c r="I52" s="178"/>
      <c r="J52" s="210">
        <v>1421</v>
      </c>
      <c r="K52" s="210">
        <v>512.5</v>
      </c>
      <c r="L52" s="210">
        <v>321.89999999999998</v>
      </c>
      <c r="M52" s="209">
        <f>J52+K52-L52</f>
        <v>1611.6</v>
      </c>
      <c r="N52" s="178"/>
      <c r="O52" s="178"/>
      <c r="P52" s="210">
        <v>1421</v>
      </c>
      <c r="Q52" s="210">
        <v>256.2</v>
      </c>
      <c r="R52" s="210">
        <v>160.9</v>
      </c>
      <c r="S52" s="209">
        <f>P52+Q52-R52</f>
        <v>1516.3</v>
      </c>
      <c r="T52" s="178"/>
      <c r="U52" s="178"/>
      <c r="V52" s="209">
        <f>S52+T52-U52</f>
        <v>1516.3</v>
      </c>
      <c r="W52" s="210">
        <v>512.4</v>
      </c>
      <c r="X52" s="210">
        <v>321.89999999999998</v>
      </c>
      <c r="Y52" s="209">
        <f>V52+W52-X52</f>
        <v>1706.7999999999997</v>
      </c>
      <c r="Z52" s="178"/>
      <c r="AA52" s="178"/>
      <c r="AB52" s="178"/>
      <c r="AC52" s="178"/>
      <c r="AD52" s="178"/>
    </row>
    <row r="53" spans="1:30" x14ac:dyDescent="0.25">
      <c r="A53" s="180"/>
      <c r="B53" s="204"/>
      <c r="C53" s="206" t="s">
        <v>13</v>
      </c>
      <c r="D53" s="210">
        <v>315</v>
      </c>
      <c r="E53" s="210">
        <v>0</v>
      </c>
      <c r="F53" s="210">
        <v>61.5</v>
      </c>
      <c r="G53" s="209">
        <f>D53+E53-F53</f>
        <v>253.5</v>
      </c>
      <c r="H53" s="202"/>
      <c r="I53" s="178"/>
      <c r="J53" s="210">
        <v>253.5</v>
      </c>
      <c r="K53" s="210">
        <v>49.1</v>
      </c>
      <c r="L53" s="210">
        <v>60</v>
      </c>
      <c r="M53" s="209">
        <f>J53+K53-L53</f>
        <v>242.60000000000002</v>
      </c>
      <c r="N53" s="178"/>
      <c r="O53" s="178"/>
      <c r="P53" s="210">
        <v>253.5</v>
      </c>
      <c r="Q53" s="210">
        <v>49.1</v>
      </c>
      <c r="R53" s="210">
        <v>0</v>
      </c>
      <c r="S53" s="209">
        <f>P53+Q53-R53</f>
        <v>302.60000000000002</v>
      </c>
      <c r="T53" s="178"/>
      <c r="U53" s="178"/>
      <c r="V53" s="209">
        <f>S53+T53-U53</f>
        <v>302.60000000000002</v>
      </c>
      <c r="W53" s="210">
        <v>45</v>
      </c>
      <c r="X53" s="210">
        <v>60</v>
      </c>
      <c r="Y53" s="209">
        <f>V53+W53-X53</f>
        <v>287.60000000000002</v>
      </c>
      <c r="Z53" s="178"/>
      <c r="AA53" s="178"/>
      <c r="AB53" s="178"/>
      <c r="AC53" s="178"/>
      <c r="AD53" s="178"/>
    </row>
    <row r="54" spans="1:30" x14ac:dyDescent="0.25">
      <c r="A54" s="180"/>
      <c r="B54" s="204"/>
      <c r="C54" s="212" t="s">
        <v>12</v>
      </c>
      <c r="D54" s="210">
        <v>589.9</v>
      </c>
      <c r="E54" s="210">
        <v>521.20000000000005</v>
      </c>
      <c r="F54" s="210">
        <v>178.8</v>
      </c>
      <c r="G54" s="209">
        <f>D54+E54-F54</f>
        <v>932.3</v>
      </c>
      <c r="H54" s="202"/>
      <c r="I54" s="178"/>
      <c r="J54" s="210">
        <v>932.3</v>
      </c>
      <c r="K54" s="210">
        <v>552</v>
      </c>
      <c r="L54" s="210">
        <v>1372</v>
      </c>
      <c r="M54" s="209">
        <f>J54+K54-L54</f>
        <v>112.29999999999995</v>
      </c>
      <c r="N54" s="178"/>
      <c r="O54" s="178"/>
      <c r="P54" s="210">
        <v>932.3</v>
      </c>
      <c r="Q54" s="210">
        <v>248</v>
      </c>
      <c r="R54" s="210">
        <v>223.3</v>
      </c>
      <c r="S54" s="209">
        <f>P54+Q54-R54</f>
        <v>957</v>
      </c>
      <c r="T54" s="178"/>
      <c r="U54" s="178"/>
      <c r="V54" s="209">
        <f>S54+T54-U54</f>
        <v>957</v>
      </c>
      <c r="W54" s="210">
        <v>560</v>
      </c>
      <c r="X54" s="210">
        <v>1300</v>
      </c>
      <c r="Y54" s="209">
        <f>V54+W54-X54</f>
        <v>217</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58.86</v>
      </c>
      <c r="E57" s="205">
        <v>55.1</v>
      </c>
      <c r="F57" s="202"/>
      <c r="G57" s="202"/>
      <c r="H57" s="202"/>
      <c r="I57" s="201"/>
      <c r="J57" s="205">
        <v>56.1</v>
      </c>
      <c r="K57" s="202"/>
      <c r="L57" s="202"/>
      <c r="M57" s="202"/>
      <c r="N57" s="202"/>
      <c r="O57" s="201"/>
      <c r="P57" s="205">
        <v>54.3</v>
      </c>
      <c r="Q57" s="201"/>
      <c r="R57" s="201"/>
      <c r="S57" s="201"/>
      <c r="T57" s="201"/>
      <c r="U57" s="201"/>
      <c r="V57" s="205">
        <v>57.1</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t="s">
        <v>203</v>
      </c>
      <c r="C61" s="184"/>
      <c r="D61" s="184"/>
      <c r="E61" s="184"/>
      <c r="F61" s="184"/>
      <c r="G61" s="184"/>
      <c r="H61" s="184"/>
      <c r="I61" s="184"/>
      <c r="J61" s="184"/>
      <c r="K61" s="184"/>
      <c r="L61" s="194" t="s">
        <v>52</v>
      </c>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t="s">
        <v>52</v>
      </c>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44502</v>
      </c>
      <c r="D91" s="179" t="s">
        <v>4</v>
      </c>
      <c r="E91" s="184" t="s">
        <v>202</v>
      </c>
      <c r="F91" s="184"/>
      <c r="G91" s="184"/>
      <c r="H91" s="179"/>
      <c r="I91" s="179" t="s">
        <v>2</v>
      </c>
      <c r="J91" s="183" t="s">
        <v>201</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t="s">
        <v>52</v>
      </c>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6">
    <mergeCell ref="AB10:AB14"/>
    <mergeCell ref="V11:Y11"/>
    <mergeCell ref="V12:AA12"/>
    <mergeCell ref="V13:X13"/>
    <mergeCell ref="AA13:AA14"/>
    <mergeCell ref="V10:AA10"/>
    <mergeCell ref="Y13:Y14"/>
    <mergeCell ref="Z13:Z14"/>
    <mergeCell ref="T26:T27"/>
    <mergeCell ref="U26:U27"/>
    <mergeCell ref="AB25:AB27"/>
    <mergeCell ref="V26:X26"/>
    <mergeCell ref="AA26:AA27"/>
    <mergeCell ref="Y26:Y27"/>
    <mergeCell ref="Z26:Z27"/>
    <mergeCell ref="V25:AA25"/>
    <mergeCell ref="D4:U4"/>
    <mergeCell ref="D8:U8"/>
    <mergeCell ref="C43:C44"/>
    <mergeCell ref="C46:C47"/>
    <mergeCell ref="C26:C27"/>
    <mergeCell ref="D12:I12"/>
    <mergeCell ref="D10:I10"/>
    <mergeCell ref="D11:G11"/>
    <mergeCell ref="C10:C13"/>
    <mergeCell ref="D13:F13"/>
    <mergeCell ref="U13:U14"/>
    <mergeCell ref="P25:U25"/>
    <mergeCell ref="E91:G91"/>
    <mergeCell ref="J91:M91"/>
    <mergeCell ref="B63:U63"/>
    <mergeCell ref="B82:U82"/>
    <mergeCell ref="H26:H27"/>
    <mergeCell ref="I26:I27"/>
    <mergeCell ref="P26:R26"/>
    <mergeCell ref="S26:S27"/>
    <mergeCell ref="B62:U62"/>
    <mergeCell ref="D59:U59"/>
    <mergeCell ref="B26:B27"/>
    <mergeCell ref="O13:O14"/>
    <mergeCell ref="J25:O25"/>
    <mergeCell ref="J26:L26"/>
    <mergeCell ref="M26:M27"/>
    <mergeCell ref="N26:N27"/>
    <mergeCell ref="O26:O27"/>
    <mergeCell ref="G13:G14"/>
    <mergeCell ref="D26:F26"/>
    <mergeCell ref="G26:G27"/>
    <mergeCell ref="B10:B13"/>
    <mergeCell ref="P10:U10"/>
    <mergeCell ref="P11:S11"/>
    <mergeCell ref="P12:U12"/>
    <mergeCell ref="P13:R13"/>
    <mergeCell ref="H13:H14"/>
    <mergeCell ref="S13:S14"/>
    <mergeCell ref="T13:T14"/>
    <mergeCell ref="B61:K61"/>
    <mergeCell ref="L61:U61"/>
    <mergeCell ref="J10:O10"/>
    <mergeCell ref="J11:M11"/>
    <mergeCell ref="J12:O12"/>
    <mergeCell ref="J13:L13"/>
    <mergeCell ref="M13:M14"/>
    <mergeCell ref="N13:N14"/>
    <mergeCell ref="I13:I14"/>
    <mergeCell ref="D25:I25"/>
  </mergeCells>
  <conditionalFormatting sqref="AB15:AB25">
    <cfRule type="cellIs" dxfId="23" priority="3" operator="equal">
      <formula>0</formula>
    </cfRule>
    <cfRule type="containsErrors" dxfId="22" priority="4">
      <formula>ISERROR(AB15)</formula>
    </cfRule>
  </conditionalFormatting>
  <conditionalFormatting sqref="AB28:AB41">
    <cfRule type="cellIs" dxfId="21" priority="1" operator="equal">
      <formula>0</formula>
    </cfRule>
    <cfRule type="containsErrors" dxfId="20" priority="2">
      <formula>ISERROR(AB28)</formula>
    </cfRule>
  </conditionalFormatting>
  <pageMargins left="0.70866141732283472" right="0.70866141732283472" top="0.78740157480314965" bottom="0.78740157480314965" header="0.31496062992125984" footer="0.31496062992125984"/>
  <pageSetup paperSize="9" scale="28"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D128"/>
  <sheetViews>
    <sheetView showGridLines="0" zoomScale="80" zoomScaleNormal="80" zoomScaleSheetLayoutView="80" workbookViewId="0">
      <selection activeCell="P10" sqref="A1:U14"/>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200</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46789766</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199</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472" t="s">
        <v>198</v>
      </c>
      <c r="W10" s="471"/>
      <c r="X10" s="471"/>
      <c r="Y10" s="471"/>
      <c r="Z10" s="471"/>
      <c r="AA10" s="470"/>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1122.3</v>
      </c>
      <c r="G15" s="366">
        <f>SUM(D15:F15)</f>
        <v>1122.3</v>
      </c>
      <c r="H15" s="352">
        <v>73.7</v>
      </c>
      <c r="I15" s="266">
        <f>G15+H15</f>
        <v>1196</v>
      </c>
      <c r="J15" s="369"/>
      <c r="K15" s="368"/>
      <c r="L15" s="367">
        <v>2000</v>
      </c>
      <c r="M15" s="366">
        <f>SUM(J15:L15)</f>
        <v>2000</v>
      </c>
      <c r="N15" s="352">
        <v>270</v>
      </c>
      <c r="O15" s="266">
        <f>M15+N15</f>
        <v>2270</v>
      </c>
      <c r="P15" s="369"/>
      <c r="Q15" s="368"/>
      <c r="R15" s="367">
        <v>552.5</v>
      </c>
      <c r="S15" s="366">
        <f>SUM(P15:R15)</f>
        <v>552.5</v>
      </c>
      <c r="T15" s="352">
        <v>35.299999999999997</v>
      </c>
      <c r="U15" s="266">
        <f>S15+T15</f>
        <v>587.79999999999995</v>
      </c>
      <c r="V15" s="369"/>
      <c r="W15" s="368"/>
      <c r="X15" s="367">
        <v>1800</v>
      </c>
      <c r="Y15" s="366">
        <f>SUM(V15:X15)</f>
        <v>1800</v>
      </c>
      <c r="Z15" s="352">
        <v>260</v>
      </c>
      <c r="AA15" s="266">
        <f>Y15+Z15</f>
        <v>2060</v>
      </c>
      <c r="AB15" s="232">
        <f>(AA15/O15)</f>
        <v>0.90748898678414092</v>
      </c>
      <c r="AC15" s="178"/>
      <c r="AD15" s="178"/>
    </row>
    <row r="16" spans="1:30" x14ac:dyDescent="0.25">
      <c r="A16" s="180"/>
      <c r="B16" s="274" t="s">
        <v>86</v>
      </c>
      <c r="C16" s="361" t="s">
        <v>85</v>
      </c>
      <c r="D16" s="360">
        <v>5061.8</v>
      </c>
      <c r="E16" s="343"/>
      <c r="F16" s="343"/>
      <c r="G16" s="341">
        <f>SUM(D16:F16)</f>
        <v>5061.8</v>
      </c>
      <c r="H16" s="358"/>
      <c r="I16" s="266">
        <f>G16+H16</f>
        <v>5061.8</v>
      </c>
      <c r="J16" s="360">
        <v>4723.3999999999996</v>
      </c>
      <c r="K16" s="343"/>
      <c r="L16" s="343"/>
      <c r="M16" s="341">
        <f>SUM(J16:L16)</f>
        <v>4723.3999999999996</v>
      </c>
      <c r="N16" s="358"/>
      <c r="O16" s="266">
        <f>M16+N16</f>
        <v>4723.3999999999996</v>
      </c>
      <c r="P16" s="360">
        <v>2178.1</v>
      </c>
      <c r="Q16" s="343"/>
      <c r="R16" s="343"/>
      <c r="S16" s="341">
        <f>SUM(P16:R16)</f>
        <v>2178.1</v>
      </c>
      <c r="T16" s="358"/>
      <c r="U16" s="266">
        <f>S16+T16</f>
        <v>2178.1</v>
      </c>
      <c r="V16" s="469">
        <v>5060</v>
      </c>
      <c r="W16" s="343"/>
      <c r="X16" s="343"/>
      <c r="Y16" s="341">
        <f>SUM(V16:X16)</f>
        <v>5060</v>
      </c>
      <c r="Z16" s="358"/>
      <c r="AA16" s="266">
        <f>Y16+Z16</f>
        <v>5060</v>
      </c>
      <c r="AB16" s="232">
        <f>(AA16/O16)</f>
        <v>1.0712622263623661</v>
      </c>
      <c r="AC16" s="178"/>
      <c r="AD16" s="178"/>
    </row>
    <row r="17" spans="1:30" x14ac:dyDescent="0.25">
      <c r="A17" s="180"/>
      <c r="B17" s="274" t="s">
        <v>84</v>
      </c>
      <c r="C17" s="357" t="s">
        <v>83</v>
      </c>
      <c r="D17" s="356">
        <v>669.5</v>
      </c>
      <c r="E17" s="350"/>
      <c r="F17" s="350"/>
      <c r="G17" s="341">
        <f>SUM(D17:F17)</f>
        <v>669.5</v>
      </c>
      <c r="H17" s="355"/>
      <c r="I17" s="266">
        <f>G17+H17</f>
        <v>669.5</v>
      </c>
      <c r="J17" s="356">
        <v>736.2</v>
      </c>
      <c r="K17" s="350"/>
      <c r="L17" s="350"/>
      <c r="M17" s="341">
        <f>SUM(J17:L17)</f>
        <v>736.2</v>
      </c>
      <c r="N17" s="355"/>
      <c r="O17" s="266">
        <f>M17+N17</f>
        <v>736.2</v>
      </c>
      <c r="P17" s="356">
        <v>368.1</v>
      </c>
      <c r="Q17" s="350"/>
      <c r="R17" s="350"/>
      <c r="S17" s="341">
        <f>SUM(P17:R17)</f>
        <v>368.1</v>
      </c>
      <c r="T17" s="355"/>
      <c r="U17" s="266">
        <f>S17+T17</f>
        <v>368.1</v>
      </c>
      <c r="V17" s="356">
        <v>516</v>
      </c>
      <c r="W17" s="350"/>
      <c r="X17" s="350"/>
      <c r="Y17" s="341">
        <f>SUM(V17:X17)</f>
        <v>516</v>
      </c>
      <c r="Z17" s="355"/>
      <c r="AA17" s="266">
        <f>Y17+Z17</f>
        <v>516</v>
      </c>
      <c r="AB17" s="232">
        <f>(AA17/O17)</f>
        <v>0.70089649551752242</v>
      </c>
      <c r="AC17" s="178"/>
      <c r="AD17" s="178"/>
    </row>
    <row r="18" spans="1:30" x14ac:dyDescent="0.25">
      <c r="A18" s="180"/>
      <c r="B18" s="274" t="s">
        <v>82</v>
      </c>
      <c r="C18" s="354" t="s">
        <v>81</v>
      </c>
      <c r="D18" s="344"/>
      <c r="E18" s="353">
        <v>40948.1</v>
      </c>
      <c r="F18" s="350"/>
      <c r="G18" s="341">
        <f>SUM(D18:F18)</f>
        <v>40948.1</v>
      </c>
      <c r="H18" s="352">
        <v>0</v>
      </c>
      <c r="I18" s="266">
        <f>G18+H18</f>
        <v>40948.1</v>
      </c>
      <c r="J18" s="344"/>
      <c r="K18" s="353">
        <v>37594.6</v>
      </c>
      <c r="L18" s="350"/>
      <c r="M18" s="341">
        <f>SUM(J18:L18)</f>
        <v>37594.6</v>
      </c>
      <c r="N18" s="352">
        <v>0</v>
      </c>
      <c r="O18" s="266">
        <f>M18+N18</f>
        <v>37594.6</v>
      </c>
      <c r="P18" s="344"/>
      <c r="Q18" s="353">
        <v>22541.5</v>
      </c>
      <c r="R18" s="350"/>
      <c r="S18" s="341">
        <f>SUM(P18:R18)</f>
        <v>22541.5</v>
      </c>
      <c r="T18" s="352">
        <v>0</v>
      </c>
      <c r="U18" s="266">
        <f>S18+T18</f>
        <v>22541.5</v>
      </c>
      <c r="V18" s="344"/>
      <c r="W18" s="468">
        <f>44140+272.1</f>
        <v>44412.1</v>
      </c>
      <c r="X18" s="467"/>
      <c r="Y18" s="341">
        <f>SUM(V18:X18)</f>
        <v>44412.1</v>
      </c>
      <c r="Z18" s="352">
        <v>0</v>
      </c>
      <c r="AA18" s="266">
        <f>Y18+Z18</f>
        <v>44412.1</v>
      </c>
      <c r="AB18" s="232">
        <f>(AA18/O18)</f>
        <v>1.1813425332361562</v>
      </c>
      <c r="AC18" s="178"/>
      <c r="AD18" s="178"/>
    </row>
    <row r="19" spans="1:30" x14ac:dyDescent="0.25">
      <c r="A19" s="180"/>
      <c r="B19" s="274" t="s">
        <v>80</v>
      </c>
      <c r="C19" s="280" t="s">
        <v>79</v>
      </c>
      <c r="D19" s="351"/>
      <c r="E19" s="350"/>
      <c r="F19" s="347">
        <v>402.8</v>
      </c>
      <c r="G19" s="341">
        <f>SUM(D19:F19)</f>
        <v>402.8</v>
      </c>
      <c r="H19" s="345">
        <v>0</v>
      </c>
      <c r="I19" s="266">
        <f>G19+H19</f>
        <v>402.8</v>
      </c>
      <c r="J19" s="351"/>
      <c r="K19" s="350"/>
      <c r="L19" s="347">
        <v>888.2</v>
      </c>
      <c r="M19" s="341">
        <f>SUM(J19:L19)</f>
        <v>888.2</v>
      </c>
      <c r="N19" s="345">
        <v>0</v>
      </c>
      <c r="O19" s="266">
        <f>M19+N19</f>
        <v>888.2</v>
      </c>
      <c r="P19" s="351"/>
      <c r="Q19" s="350"/>
      <c r="R19" s="347">
        <v>446</v>
      </c>
      <c r="S19" s="341">
        <f>SUM(P19:R19)</f>
        <v>446</v>
      </c>
      <c r="T19" s="345">
        <v>0</v>
      </c>
      <c r="U19" s="266">
        <f>S19+T19</f>
        <v>446</v>
      </c>
      <c r="V19" s="351"/>
      <c r="W19" s="467"/>
      <c r="X19" s="466">
        <v>892</v>
      </c>
      <c r="Y19" s="341">
        <f>SUM(V19:X19)</f>
        <v>892</v>
      </c>
      <c r="Z19" s="345">
        <v>0</v>
      </c>
      <c r="AA19" s="266">
        <f>Y19+Z19</f>
        <v>892</v>
      </c>
      <c r="AB19" s="232">
        <f>(AA19/O19)</f>
        <v>1.0042783156946633</v>
      </c>
      <c r="AC19" s="178"/>
      <c r="AD19" s="178"/>
    </row>
    <row r="20" spans="1:30" x14ac:dyDescent="0.25">
      <c r="A20" s="180"/>
      <c r="B20" s="274" t="s">
        <v>78</v>
      </c>
      <c r="C20" s="346" t="s">
        <v>77</v>
      </c>
      <c r="D20" s="344"/>
      <c r="E20" s="343"/>
      <c r="F20" s="342">
        <v>179.8</v>
      </c>
      <c r="G20" s="341">
        <f>SUM(D20:F20)</f>
        <v>179.8</v>
      </c>
      <c r="H20" s="345">
        <v>0</v>
      </c>
      <c r="I20" s="266">
        <f>G20+H20</f>
        <v>179.8</v>
      </c>
      <c r="J20" s="344"/>
      <c r="K20" s="343"/>
      <c r="L20" s="342">
        <v>50</v>
      </c>
      <c r="M20" s="341">
        <f>SUM(J20:L20)</f>
        <v>50</v>
      </c>
      <c r="N20" s="345">
        <v>0</v>
      </c>
      <c r="O20" s="266">
        <f>M20+N20</f>
        <v>50</v>
      </c>
      <c r="P20" s="344"/>
      <c r="Q20" s="343"/>
      <c r="R20" s="342">
        <v>1061.3</v>
      </c>
      <c r="S20" s="341">
        <f>SUM(P20:R20)</f>
        <v>1061.3</v>
      </c>
      <c r="T20" s="345">
        <v>0</v>
      </c>
      <c r="U20" s="266">
        <f>S20+T20</f>
        <v>1061.3</v>
      </c>
      <c r="V20" s="344"/>
      <c r="W20" s="467"/>
      <c r="X20" s="466">
        <v>120</v>
      </c>
      <c r="Y20" s="341">
        <f>SUM(V20:X20)</f>
        <v>120</v>
      </c>
      <c r="Z20" s="345">
        <v>0</v>
      </c>
      <c r="AA20" s="266">
        <f>Y20+Z20</f>
        <v>120</v>
      </c>
      <c r="AB20" s="232">
        <f>(AA20/O20)</f>
        <v>2.4</v>
      </c>
      <c r="AC20" s="178"/>
      <c r="AD20" s="178"/>
    </row>
    <row r="21" spans="1:30" x14ac:dyDescent="0.25">
      <c r="A21" s="180"/>
      <c r="B21" s="274" t="s">
        <v>76</v>
      </c>
      <c r="C21" s="273" t="s">
        <v>75</v>
      </c>
      <c r="D21" s="344"/>
      <c r="E21" s="343"/>
      <c r="F21" s="342">
        <v>30.6</v>
      </c>
      <c r="G21" s="341">
        <f>SUM(D21:F21)</f>
        <v>30.6</v>
      </c>
      <c r="H21" s="336">
        <v>122.9</v>
      </c>
      <c r="I21" s="266">
        <f>G21+H21</f>
        <v>153.5</v>
      </c>
      <c r="J21" s="344"/>
      <c r="K21" s="343"/>
      <c r="L21" s="342">
        <v>220</v>
      </c>
      <c r="M21" s="341">
        <f>SUM(J21:L21)</f>
        <v>220</v>
      </c>
      <c r="N21" s="336">
        <v>260</v>
      </c>
      <c r="O21" s="266">
        <f>M21+N21</f>
        <v>480</v>
      </c>
      <c r="P21" s="344"/>
      <c r="Q21" s="343"/>
      <c r="R21" s="342">
        <v>13.3</v>
      </c>
      <c r="S21" s="341">
        <f>SUM(P21:R21)</f>
        <v>13.3</v>
      </c>
      <c r="T21" s="336">
        <v>92</v>
      </c>
      <c r="U21" s="266">
        <f>S21+T21</f>
        <v>105.3</v>
      </c>
      <c r="V21" s="344"/>
      <c r="W21" s="343"/>
      <c r="X21" s="342">
        <v>200</v>
      </c>
      <c r="Y21" s="341">
        <f>SUM(V21:X21)</f>
        <v>200</v>
      </c>
      <c r="Z21" s="336">
        <v>187</v>
      </c>
      <c r="AA21" s="266">
        <f>Y21+Z21</f>
        <v>387</v>
      </c>
      <c r="AB21" s="232">
        <f>(AA21/O21)</f>
        <v>0.80625000000000002</v>
      </c>
      <c r="AC21" s="178"/>
      <c r="AD21" s="178"/>
    </row>
    <row r="22" spans="1:30" x14ac:dyDescent="0.25">
      <c r="A22" s="180"/>
      <c r="B22" s="274" t="s">
        <v>74</v>
      </c>
      <c r="C22" s="273" t="s">
        <v>73</v>
      </c>
      <c r="D22" s="344"/>
      <c r="E22" s="343"/>
      <c r="F22" s="342">
        <v>0</v>
      </c>
      <c r="G22" s="341">
        <f>SUM(D22:F22)</f>
        <v>0</v>
      </c>
      <c r="H22" s="336">
        <v>122.9</v>
      </c>
      <c r="I22" s="266">
        <f>G22+H22</f>
        <v>122.9</v>
      </c>
      <c r="J22" s="344"/>
      <c r="K22" s="343"/>
      <c r="L22" s="342">
        <v>0</v>
      </c>
      <c r="M22" s="341">
        <f>SUM(J22:L22)</f>
        <v>0</v>
      </c>
      <c r="N22" s="336">
        <v>260</v>
      </c>
      <c r="O22" s="266">
        <f>M22+N22</f>
        <v>260</v>
      </c>
      <c r="P22" s="344"/>
      <c r="Q22" s="343"/>
      <c r="R22" s="342">
        <v>0</v>
      </c>
      <c r="S22" s="341">
        <f>SUM(P22:R22)</f>
        <v>0</v>
      </c>
      <c r="T22" s="336">
        <v>92</v>
      </c>
      <c r="U22" s="266">
        <f>S22+T22</f>
        <v>92</v>
      </c>
      <c r="V22" s="344"/>
      <c r="W22" s="343"/>
      <c r="X22" s="342">
        <v>0</v>
      </c>
      <c r="Y22" s="341">
        <f>SUM(V22:X22)</f>
        <v>0</v>
      </c>
      <c r="Z22" s="336">
        <v>187</v>
      </c>
      <c r="AA22" s="266">
        <f>Y22+Z22</f>
        <v>187</v>
      </c>
      <c r="AB22" s="232">
        <f>(AA22/O22)</f>
        <v>0.71923076923076923</v>
      </c>
      <c r="AC22" s="178"/>
      <c r="AD22" s="178"/>
    </row>
    <row r="23" spans="1:30" ht="15.75" thickBot="1" x14ac:dyDescent="0.3">
      <c r="A23" s="180"/>
      <c r="B23" s="335" t="s">
        <v>72</v>
      </c>
      <c r="C23" s="334" t="s">
        <v>71</v>
      </c>
      <c r="D23" s="333"/>
      <c r="E23" s="332"/>
      <c r="F23" s="331">
        <v>0</v>
      </c>
      <c r="G23" s="330">
        <f>SUM(D23:F23)</f>
        <v>0</v>
      </c>
      <c r="H23" s="325">
        <v>0</v>
      </c>
      <c r="I23" s="255">
        <f>G23+H23</f>
        <v>0</v>
      </c>
      <c r="J23" s="333"/>
      <c r="K23" s="332"/>
      <c r="L23" s="331">
        <v>0</v>
      </c>
      <c r="M23" s="330">
        <f>SUM(J23:L23)</f>
        <v>0</v>
      </c>
      <c r="N23" s="325">
        <v>0</v>
      </c>
      <c r="O23" s="255">
        <f>M23+N23</f>
        <v>0</v>
      </c>
      <c r="P23" s="333"/>
      <c r="Q23" s="332"/>
      <c r="R23" s="331">
        <v>0</v>
      </c>
      <c r="S23" s="330">
        <f>SUM(P23:R23)</f>
        <v>0</v>
      </c>
      <c r="T23" s="325">
        <v>0</v>
      </c>
      <c r="U23" s="255">
        <f>S23+T23</f>
        <v>0</v>
      </c>
      <c r="V23" s="333"/>
      <c r="W23" s="332"/>
      <c r="X23" s="331">
        <v>0</v>
      </c>
      <c r="Y23" s="330">
        <f>SUM(V23:X23)</f>
        <v>0</v>
      </c>
      <c r="Z23" s="325">
        <v>0</v>
      </c>
      <c r="AA23" s="255">
        <f>Y23+Z23</f>
        <v>0</v>
      </c>
      <c r="AB23" s="254" t="e">
        <f>(AA23/O23)</f>
        <v>#DIV/0!</v>
      </c>
      <c r="AC23" s="178"/>
      <c r="AD23" s="178"/>
    </row>
    <row r="24" spans="1:30" ht="15.75" thickBot="1" x14ac:dyDescent="0.3">
      <c r="A24" s="180"/>
      <c r="B24" s="253" t="s">
        <v>70</v>
      </c>
      <c r="C24" s="324" t="s">
        <v>69</v>
      </c>
      <c r="D24" s="323">
        <f>SUM(D15:D21)</f>
        <v>5731.3</v>
      </c>
      <c r="E24" s="322">
        <f>SUM(E15:E21)</f>
        <v>40948.1</v>
      </c>
      <c r="F24" s="322">
        <f>SUM(F15:F21)</f>
        <v>1735.4999999999998</v>
      </c>
      <c r="G24" s="321">
        <f>SUM(D24:F24)</f>
        <v>48414.9</v>
      </c>
      <c r="H24" s="320">
        <f>SUM(H15:H21)</f>
        <v>196.60000000000002</v>
      </c>
      <c r="I24" s="320">
        <f>SUM(I15:I21)</f>
        <v>48611.500000000007</v>
      </c>
      <c r="J24" s="323">
        <f>SUM(J15:J21)</f>
        <v>5459.5999999999995</v>
      </c>
      <c r="K24" s="322">
        <f>SUM(K15:K21)</f>
        <v>37594.6</v>
      </c>
      <c r="L24" s="322">
        <f>SUM(L15:L21)</f>
        <v>3158.2</v>
      </c>
      <c r="M24" s="321">
        <f>SUM(J24:L24)</f>
        <v>46212.399999999994</v>
      </c>
      <c r="N24" s="320">
        <f>SUM(N15:N21)</f>
        <v>530</v>
      </c>
      <c r="O24" s="320">
        <f>SUM(O15:O21)</f>
        <v>46742.399999999994</v>
      </c>
      <c r="P24" s="323">
        <f>SUM(P15:P21)</f>
        <v>2546.1999999999998</v>
      </c>
      <c r="Q24" s="322">
        <f>SUM(Q15:Q21)</f>
        <v>22541.5</v>
      </c>
      <c r="R24" s="322">
        <f>SUM(R15:R21)</f>
        <v>2073.1000000000004</v>
      </c>
      <c r="S24" s="321">
        <f>SUM(P24:R24)</f>
        <v>27160.800000000003</v>
      </c>
      <c r="T24" s="320">
        <f>SUM(T15:T21)</f>
        <v>127.3</v>
      </c>
      <c r="U24" s="320">
        <f>SUM(U15:U21)</f>
        <v>27288.1</v>
      </c>
      <c r="V24" s="323">
        <f>SUM(V15:V21)</f>
        <v>5576</v>
      </c>
      <c r="W24" s="322">
        <f>SUM(W15:W21)</f>
        <v>44412.1</v>
      </c>
      <c r="X24" s="322">
        <f>SUM(X15:X21)</f>
        <v>3012</v>
      </c>
      <c r="Y24" s="321">
        <f>SUM(V24:X24)</f>
        <v>53000.1</v>
      </c>
      <c r="Z24" s="320">
        <f>SUM(Z15:Z21)</f>
        <v>447</v>
      </c>
      <c r="AA24" s="320">
        <f>SUM(AA15:AA21)</f>
        <v>53447.1</v>
      </c>
      <c r="AB24" s="319">
        <f>(AA24/O24)</f>
        <v>1.143439361265147</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198.7</v>
      </c>
      <c r="E28" s="287">
        <v>0</v>
      </c>
      <c r="F28" s="287">
        <v>0</v>
      </c>
      <c r="G28" s="286">
        <f>SUM(D28:F28)</f>
        <v>198.7</v>
      </c>
      <c r="H28" s="286">
        <v>0</v>
      </c>
      <c r="I28" s="285">
        <f>G28+H28</f>
        <v>198.7</v>
      </c>
      <c r="J28" s="288">
        <v>312.10000000000002</v>
      </c>
      <c r="K28" s="287">
        <v>0</v>
      </c>
      <c r="L28" s="287">
        <v>16.600000000000001</v>
      </c>
      <c r="M28" s="286">
        <f>SUM(J28:L28)</f>
        <v>328.70000000000005</v>
      </c>
      <c r="N28" s="286">
        <v>35</v>
      </c>
      <c r="O28" s="285">
        <f>M28+N28</f>
        <v>363.70000000000005</v>
      </c>
      <c r="P28" s="288">
        <v>42.5</v>
      </c>
      <c r="Q28" s="287">
        <v>0</v>
      </c>
      <c r="R28" s="287">
        <v>0</v>
      </c>
      <c r="S28" s="286">
        <f>SUM(P28:R28)</f>
        <v>42.5</v>
      </c>
      <c r="T28" s="286"/>
      <c r="U28" s="285">
        <f>S28+T28</f>
        <v>42.5</v>
      </c>
      <c r="V28" s="288">
        <v>280</v>
      </c>
      <c r="W28" s="287">
        <v>0</v>
      </c>
      <c r="X28" s="287">
        <v>12</v>
      </c>
      <c r="Y28" s="286">
        <f>SUM(V28:X28)</f>
        <v>292</v>
      </c>
      <c r="Z28" s="286">
        <v>5</v>
      </c>
      <c r="AA28" s="285">
        <f>Y28+Z28</f>
        <v>297</v>
      </c>
      <c r="AB28" s="232">
        <f>(AA28/O28)</f>
        <v>0.8166070937585922</v>
      </c>
      <c r="AC28" s="178"/>
      <c r="AD28" s="178"/>
    </row>
    <row r="29" spans="1:30" x14ac:dyDescent="0.25">
      <c r="A29" s="180"/>
      <c r="B29" s="274" t="s">
        <v>56</v>
      </c>
      <c r="C29" s="284" t="s">
        <v>55</v>
      </c>
      <c r="D29" s="282">
        <v>716.8</v>
      </c>
      <c r="E29" s="282">
        <v>243.5</v>
      </c>
      <c r="F29" s="282">
        <v>1284.9000000000001</v>
      </c>
      <c r="G29" s="263">
        <f>SUM(D29:F29)</f>
        <v>2245.1999999999998</v>
      </c>
      <c r="H29" s="281">
        <v>47.7</v>
      </c>
      <c r="I29" s="266">
        <f>G29+H29</f>
        <v>2292.8999999999996</v>
      </c>
      <c r="J29" s="283">
        <v>512.6</v>
      </c>
      <c r="K29" s="282">
        <v>282</v>
      </c>
      <c r="L29" s="282">
        <v>2153.4</v>
      </c>
      <c r="M29" s="263">
        <f>SUM(J29:L29)</f>
        <v>2948</v>
      </c>
      <c r="N29" s="281">
        <v>185</v>
      </c>
      <c r="O29" s="266">
        <f>M29+N29</f>
        <v>3133</v>
      </c>
      <c r="P29" s="283">
        <v>274.10000000000002</v>
      </c>
      <c r="Q29" s="282">
        <v>64.099999999999994</v>
      </c>
      <c r="R29" s="282">
        <v>609.5</v>
      </c>
      <c r="S29" s="263">
        <f>SUM(P29:R29)</f>
        <v>947.7</v>
      </c>
      <c r="T29" s="281"/>
      <c r="U29" s="266">
        <f>S29+T29</f>
        <v>947.7</v>
      </c>
      <c r="V29" s="465">
        <f>492+3.3+25.5+10</f>
        <v>530.79999999999995</v>
      </c>
      <c r="W29" s="282">
        <v>646</v>
      </c>
      <c r="X29" s="282">
        <v>2005</v>
      </c>
      <c r="Y29" s="263">
        <f>SUM(V29:X29)</f>
        <v>3181.8</v>
      </c>
      <c r="Z29" s="281">
        <v>150</v>
      </c>
      <c r="AA29" s="266">
        <f>Y29+Z29</f>
        <v>3331.8</v>
      </c>
      <c r="AB29" s="232">
        <f>(AA29/O29)</f>
        <v>1.0634535588892435</v>
      </c>
      <c r="AC29" s="178"/>
      <c r="AD29" s="178"/>
    </row>
    <row r="30" spans="1:30" x14ac:dyDescent="0.25">
      <c r="A30" s="180"/>
      <c r="B30" s="274" t="s">
        <v>54</v>
      </c>
      <c r="C30" s="273" t="s">
        <v>53</v>
      </c>
      <c r="D30" s="267">
        <v>1636.3</v>
      </c>
      <c r="E30" s="267">
        <v>0</v>
      </c>
      <c r="F30" s="267">
        <v>0</v>
      </c>
      <c r="G30" s="263">
        <f>SUM(D30:F30)</f>
        <v>1636.3</v>
      </c>
      <c r="H30" s="263">
        <v>24.6</v>
      </c>
      <c r="I30" s="266">
        <f>G30+H30</f>
        <v>1660.8999999999999</v>
      </c>
      <c r="J30" s="268">
        <v>1940</v>
      </c>
      <c r="K30" s="267">
        <v>0</v>
      </c>
      <c r="L30" s="267">
        <v>0</v>
      </c>
      <c r="M30" s="263">
        <f>SUM(J30:L30)</f>
        <v>1940</v>
      </c>
      <c r="N30" s="263">
        <v>141</v>
      </c>
      <c r="O30" s="266">
        <f>M30+N30</f>
        <v>2081</v>
      </c>
      <c r="P30" s="268">
        <v>1190</v>
      </c>
      <c r="Q30" s="267">
        <v>0</v>
      </c>
      <c r="R30" s="267">
        <v>0</v>
      </c>
      <c r="S30" s="263">
        <f>SUM(P30:R30)</f>
        <v>1190</v>
      </c>
      <c r="T30" s="263"/>
      <c r="U30" s="266">
        <f>S30+T30</f>
        <v>1190</v>
      </c>
      <c r="V30" s="465">
        <v>2270</v>
      </c>
      <c r="W30" s="267">
        <v>0</v>
      </c>
      <c r="X30" s="267">
        <v>0</v>
      </c>
      <c r="Y30" s="263">
        <f>SUM(V30:X30)</f>
        <v>2270</v>
      </c>
      <c r="Z30" s="263">
        <v>120</v>
      </c>
      <c r="AA30" s="266">
        <f>Y30+Z30</f>
        <v>2390</v>
      </c>
      <c r="AB30" s="232">
        <f>(AA30/O30)</f>
        <v>1.1484863046612206</v>
      </c>
      <c r="AC30" s="178"/>
      <c r="AD30" s="178"/>
    </row>
    <row r="31" spans="1:30" x14ac:dyDescent="0.25">
      <c r="A31" s="180"/>
      <c r="B31" s="274" t="s">
        <v>51</v>
      </c>
      <c r="C31" s="273" t="s">
        <v>50</v>
      </c>
      <c r="D31" s="267">
        <v>846</v>
      </c>
      <c r="E31" s="267">
        <v>33.9</v>
      </c>
      <c r="F31" s="267">
        <v>14.7</v>
      </c>
      <c r="G31" s="263">
        <f>SUM(D31:F31)</f>
        <v>894.6</v>
      </c>
      <c r="H31" s="263">
        <v>0</v>
      </c>
      <c r="I31" s="266">
        <f>G31+H31</f>
        <v>894.6</v>
      </c>
      <c r="J31" s="268">
        <v>870.5</v>
      </c>
      <c r="K31" s="267">
        <v>24</v>
      </c>
      <c r="L31" s="267">
        <v>25</v>
      </c>
      <c r="M31" s="263">
        <f>SUM(J31:L31)</f>
        <v>919.5</v>
      </c>
      <c r="N31" s="263">
        <v>0</v>
      </c>
      <c r="O31" s="266">
        <f>M31+N31</f>
        <v>919.5</v>
      </c>
      <c r="P31" s="268">
        <v>415.5</v>
      </c>
      <c r="Q31" s="267">
        <v>0</v>
      </c>
      <c r="R31" s="267">
        <v>4.0999999999999996</v>
      </c>
      <c r="S31" s="263">
        <f>SUM(P31:R31)</f>
        <v>419.6</v>
      </c>
      <c r="T31" s="263"/>
      <c r="U31" s="266">
        <f>S31+T31</f>
        <v>419.6</v>
      </c>
      <c r="V31" s="465">
        <f>825.5+40+23.5</f>
        <v>889</v>
      </c>
      <c r="W31" s="267">
        <v>152</v>
      </c>
      <c r="X31" s="267">
        <v>53</v>
      </c>
      <c r="Y31" s="263">
        <f>SUM(V31:X31)</f>
        <v>1094</v>
      </c>
      <c r="Z31" s="263">
        <v>2</v>
      </c>
      <c r="AA31" s="266">
        <f>Y31+Z31</f>
        <v>1096</v>
      </c>
      <c r="AB31" s="232">
        <f>(AA31/O31)</f>
        <v>1.191952147906471</v>
      </c>
      <c r="AC31" s="178"/>
      <c r="AD31" s="178"/>
    </row>
    <row r="32" spans="1:30" x14ac:dyDescent="0.25">
      <c r="A32" s="180"/>
      <c r="B32" s="274" t="s">
        <v>49</v>
      </c>
      <c r="C32" s="273" t="s">
        <v>48</v>
      </c>
      <c r="D32" s="277">
        <v>429.9</v>
      </c>
      <c r="E32" s="267">
        <v>29179</v>
      </c>
      <c r="F32" s="267">
        <v>0</v>
      </c>
      <c r="G32" s="263">
        <f>SUM(D32:F32)</f>
        <v>29608.9</v>
      </c>
      <c r="H32" s="263">
        <v>107.5</v>
      </c>
      <c r="I32" s="266">
        <f>G32+H32</f>
        <v>29716.400000000001</v>
      </c>
      <c r="J32" s="275">
        <v>500</v>
      </c>
      <c r="K32" s="267">
        <v>26915.3</v>
      </c>
      <c r="L32" s="267">
        <v>0</v>
      </c>
      <c r="M32" s="263">
        <f>SUM(J32:L32)</f>
        <v>27415.3</v>
      </c>
      <c r="N32" s="263">
        <v>156</v>
      </c>
      <c r="O32" s="266">
        <f>M32+N32</f>
        <v>27571.3</v>
      </c>
      <c r="P32" s="275">
        <v>196.8</v>
      </c>
      <c r="Q32" s="267">
        <v>14494.7</v>
      </c>
      <c r="R32" s="267">
        <v>215.5</v>
      </c>
      <c r="S32" s="263">
        <f>SUM(P32:R32)</f>
        <v>14907</v>
      </c>
      <c r="T32" s="263"/>
      <c r="U32" s="266">
        <f>S32+T32</f>
        <v>14907</v>
      </c>
      <c r="V32" s="464">
        <f>SUM(V33:V34)</f>
        <v>344.70000000000005</v>
      </c>
      <c r="W32" s="267">
        <f>SUM(W33:W34)</f>
        <v>31110.799999999999</v>
      </c>
      <c r="X32" s="267">
        <v>0</v>
      </c>
      <c r="Y32" s="263">
        <f>SUM(V32:X32)</f>
        <v>31455.5</v>
      </c>
      <c r="Z32" s="263">
        <v>154</v>
      </c>
      <c r="AA32" s="266">
        <f>Y32+Z32</f>
        <v>31609.5</v>
      </c>
      <c r="AB32" s="232">
        <f>(AA32/O32)</f>
        <v>1.1464638954274917</v>
      </c>
      <c r="AC32" s="178"/>
      <c r="AD32" s="178"/>
    </row>
    <row r="33" spans="1:30" x14ac:dyDescent="0.25">
      <c r="A33" s="180"/>
      <c r="B33" s="274" t="s">
        <v>47</v>
      </c>
      <c r="C33" s="280" t="s">
        <v>46</v>
      </c>
      <c r="D33" s="277">
        <v>426.3</v>
      </c>
      <c r="E33" s="267">
        <v>29006.6</v>
      </c>
      <c r="F33" s="267">
        <v>0</v>
      </c>
      <c r="G33" s="263">
        <f>SUM(D33:F33)</f>
        <v>29432.899999999998</v>
      </c>
      <c r="H33" s="263">
        <v>11.3</v>
      </c>
      <c r="I33" s="266">
        <f>G33+H33</f>
        <v>29444.199999999997</v>
      </c>
      <c r="J33" s="275">
        <v>440</v>
      </c>
      <c r="K33" s="267">
        <v>26743.3</v>
      </c>
      <c r="L33" s="267">
        <v>0</v>
      </c>
      <c r="M33" s="263">
        <f>SUM(J33:L33)</f>
        <v>27183.3</v>
      </c>
      <c r="N33" s="263">
        <v>35</v>
      </c>
      <c r="O33" s="266">
        <f>M33+N33</f>
        <v>27218.3</v>
      </c>
      <c r="P33" s="275">
        <v>196.8</v>
      </c>
      <c r="Q33" s="267">
        <v>14432.6</v>
      </c>
      <c r="R33" s="267">
        <v>139.80000000000001</v>
      </c>
      <c r="S33" s="263">
        <f>SUM(P33:R33)</f>
        <v>14769.199999999999</v>
      </c>
      <c r="T33" s="263"/>
      <c r="U33" s="266">
        <f>S33+T33</f>
        <v>14769.199999999999</v>
      </c>
      <c r="V33" s="275">
        <f>135.9+158.2+10.6</f>
        <v>304.70000000000005</v>
      </c>
      <c r="W33" s="463">
        <f>30720+188.8</f>
        <v>30908.799999999999</v>
      </c>
      <c r="X33" s="267">
        <v>0</v>
      </c>
      <c r="Y33" s="263">
        <f>SUM(V33:X33)</f>
        <v>31213.5</v>
      </c>
      <c r="Z33" s="263">
        <v>36</v>
      </c>
      <c r="AA33" s="266">
        <f>Y33+Z33</f>
        <v>31249.5</v>
      </c>
      <c r="AB33" s="232">
        <f>(AA33/O33)</f>
        <v>1.1481062373476669</v>
      </c>
      <c r="AC33" s="178"/>
      <c r="AD33" s="178"/>
    </row>
    <row r="34" spans="1:30" x14ac:dyDescent="0.25">
      <c r="A34" s="180"/>
      <c r="B34" s="274" t="s">
        <v>45</v>
      </c>
      <c r="C34" s="278" t="s">
        <v>44</v>
      </c>
      <c r="D34" s="277">
        <v>3.6</v>
      </c>
      <c r="E34" s="267">
        <v>172.4</v>
      </c>
      <c r="F34" s="267">
        <v>0</v>
      </c>
      <c r="G34" s="263">
        <f>SUM(D34:F34)</f>
        <v>176</v>
      </c>
      <c r="H34" s="263">
        <v>96.2</v>
      </c>
      <c r="I34" s="266">
        <f>G34+H34</f>
        <v>272.2</v>
      </c>
      <c r="J34" s="275">
        <v>60</v>
      </c>
      <c r="K34" s="267">
        <v>172</v>
      </c>
      <c r="L34" s="267">
        <v>0</v>
      </c>
      <c r="M34" s="263">
        <f>SUM(J34:L34)</f>
        <v>232</v>
      </c>
      <c r="N34" s="263">
        <v>121</v>
      </c>
      <c r="O34" s="266">
        <f>M34+N34</f>
        <v>353</v>
      </c>
      <c r="P34" s="275">
        <v>0</v>
      </c>
      <c r="Q34" s="267">
        <v>62.1</v>
      </c>
      <c r="R34" s="267">
        <v>75.7</v>
      </c>
      <c r="S34" s="263">
        <f>SUM(P34:R34)</f>
        <v>137.80000000000001</v>
      </c>
      <c r="T34" s="263"/>
      <c r="U34" s="266">
        <f>S34+T34</f>
        <v>137.80000000000001</v>
      </c>
      <c r="V34" s="275">
        <v>40</v>
      </c>
      <c r="W34" s="463">
        <f>195+7</f>
        <v>202</v>
      </c>
      <c r="X34" s="267">
        <v>0</v>
      </c>
      <c r="Y34" s="263">
        <f>SUM(V34:X34)</f>
        <v>242</v>
      </c>
      <c r="Z34" s="263">
        <v>117</v>
      </c>
      <c r="AA34" s="266">
        <f>Y34+Z34</f>
        <v>359</v>
      </c>
      <c r="AB34" s="232">
        <f>(AA34/O34)</f>
        <v>1.0169971671388103</v>
      </c>
      <c r="AC34" s="178"/>
      <c r="AD34" s="178"/>
    </row>
    <row r="35" spans="1:30" x14ac:dyDescent="0.25">
      <c r="A35" s="180"/>
      <c r="B35" s="274" t="s">
        <v>43</v>
      </c>
      <c r="C35" s="273" t="s">
        <v>42</v>
      </c>
      <c r="D35" s="277">
        <v>143.9</v>
      </c>
      <c r="E35" s="267">
        <v>9762.2999999999993</v>
      </c>
      <c r="F35" s="267">
        <v>0</v>
      </c>
      <c r="G35" s="263">
        <f>SUM(D35:F35)</f>
        <v>9906.1999999999989</v>
      </c>
      <c r="H35" s="263">
        <v>3.8</v>
      </c>
      <c r="I35" s="266">
        <f>G35+H35</f>
        <v>9909.9999999999982</v>
      </c>
      <c r="J35" s="275">
        <v>160.80000000000001</v>
      </c>
      <c r="K35" s="267">
        <v>9895.7999999999993</v>
      </c>
      <c r="L35" s="267">
        <v>0</v>
      </c>
      <c r="M35" s="263">
        <f>SUM(J35:L35)</f>
        <v>10056.599999999999</v>
      </c>
      <c r="N35" s="263">
        <v>12</v>
      </c>
      <c r="O35" s="266">
        <f>M35+N35</f>
        <v>10068.599999999999</v>
      </c>
      <c r="P35" s="275">
        <v>66.5</v>
      </c>
      <c r="Q35" s="267">
        <v>4864.8</v>
      </c>
      <c r="R35" s="267">
        <v>47.2</v>
      </c>
      <c r="S35" s="263">
        <f>SUM(P35:R35)</f>
        <v>4978.5</v>
      </c>
      <c r="T35" s="263"/>
      <c r="U35" s="266">
        <f>S35+T35</f>
        <v>4978.5</v>
      </c>
      <c r="V35" s="464">
        <f>7+72.9+26.7+3.6</f>
        <v>110.2</v>
      </c>
      <c r="W35" s="463">
        <f>10433.5+63.8</f>
        <v>10497.3</v>
      </c>
      <c r="X35" s="267">
        <v>0</v>
      </c>
      <c r="Y35" s="263">
        <f>SUM(V35:X35)</f>
        <v>10607.5</v>
      </c>
      <c r="Z35" s="263">
        <v>15</v>
      </c>
      <c r="AA35" s="266">
        <f>Y35+Z35</f>
        <v>10622.5</v>
      </c>
      <c r="AB35" s="232">
        <f>(AA35/O35)</f>
        <v>1.0550126134715851</v>
      </c>
      <c r="AC35" s="178"/>
      <c r="AD35" s="178"/>
    </row>
    <row r="36" spans="1:30" x14ac:dyDescent="0.25">
      <c r="A36" s="180"/>
      <c r="B36" s="274" t="s">
        <v>41</v>
      </c>
      <c r="C36" s="273" t="s">
        <v>40</v>
      </c>
      <c r="D36" s="267">
        <v>0</v>
      </c>
      <c r="E36" s="267">
        <v>0</v>
      </c>
      <c r="F36" s="267">
        <v>0</v>
      </c>
      <c r="G36" s="263">
        <f>SUM(D36:F36)</f>
        <v>0</v>
      </c>
      <c r="H36" s="263">
        <v>0</v>
      </c>
      <c r="I36" s="266">
        <f>G36+H36</f>
        <v>0</v>
      </c>
      <c r="J36" s="268">
        <v>0</v>
      </c>
      <c r="K36" s="267">
        <v>0</v>
      </c>
      <c r="L36" s="267">
        <v>0</v>
      </c>
      <c r="M36" s="263">
        <f>SUM(J36:L36)</f>
        <v>0</v>
      </c>
      <c r="N36" s="263">
        <v>0</v>
      </c>
      <c r="O36" s="266">
        <f>M36+N36</f>
        <v>0</v>
      </c>
      <c r="P36" s="268">
        <v>0</v>
      </c>
      <c r="Q36" s="267">
        <v>0</v>
      </c>
      <c r="R36" s="267">
        <v>0</v>
      </c>
      <c r="S36" s="263">
        <f>SUM(P36:R36)</f>
        <v>0</v>
      </c>
      <c r="T36" s="263"/>
      <c r="U36" s="266">
        <f>S36+T36</f>
        <v>0</v>
      </c>
      <c r="V36" s="268">
        <v>2</v>
      </c>
      <c r="W36" s="462">
        <v>0</v>
      </c>
      <c r="X36" s="267">
        <v>0</v>
      </c>
      <c r="Y36" s="263">
        <f>SUM(V36:X36)</f>
        <v>2</v>
      </c>
      <c r="Z36" s="263">
        <v>0</v>
      </c>
      <c r="AA36" s="266">
        <f>Y36+Z36</f>
        <v>2</v>
      </c>
      <c r="AB36" s="232" t="e">
        <f>(AA36/O36)</f>
        <v>#DIV/0!</v>
      </c>
      <c r="AC36" s="178"/>
      <c r="AD36" s="178"/>
    </row>
    <row r="37" spans="1:30" x14ac:dyDescent="0.25">
      <c r="A37" s="180"/>
      <c r="B37" s="274" t="s">
        <v>39</v>
      </c>
      <c r="C37" s="273" t="s">
        <v>38</v>
      </c>
      <c r="D37" s="267">
        <v>887.9</v>
      </c>
      <c r="E37" s="267">
        <v>0</v>
      </c>
      <c r="F37" s="267">
        <v>402.8</v>
      </c>
      <c r="G37" s="263">
        <f>SUM(D37:F37)</f>
        <v>1290.7</v>
      </c>
      <c r="H37" s="263">
        <v>0</v>
      </c>
      <c r="I37" s="266">
        <f>G37+H37</f>
        <v>1290.7</v>
      </c>
      <c r="J37" s="268">
        <v>920</v>
      </c>
      <c r="K37" s="267">
        <v>0</v>
      </c>
      <c r="L37" s="267">
        <v>913.2</v>
      </c>
      <c r="M37" s="263">
        <f>SUM(J37:L37)</f>
        <v>1833.2</v>
      </c>
      <c r="N37" s="263">
        <v>0</v>
      </c>
      <c r="O37" s="266">
        <f>M37+N37</f>
        <v>1833.2</v>
      </c>
      <c r="P37" s="268">
        <v>453.4</v>
      </c>
      <c r="Q37" s="267">
        <v>0</v>
      </c>
      <c r="R37" s="267">
        <v>446</v>
      </c>
      <c r="S37" s="263">
        <f>SUM(P37:R37)</f>
        <v>899.4</v>
      </c>
      <c r="T37" s="263"/>
      <c r="U37" s="266">
        <f>S37+T37</f>
        <v>899.4</v>
      </c>
      <c r="V37" s="268">
        <v>910</v>
      </c>
      <c r="W37" s="267">
        <v>0</v>
      </c>
      <c r="X37" s="267">
        <v>892</v>
      </c>
      <c r="Y37" s="263">
        <f>SUM(V37:X37)</f>
        <v>1802</v>
      </c>
      <c r="Z37" s="263">
        <v>0</v>
      </c>
      <c r="AA37" s="266">
        <f>Y37+Z37</f>
        <v>1802</v>
      </c>
      <c r="AB37" s="232">
        <f>(AA37/O37)</f>
        <v>0.98298058040584768</v>
      </c>
      <c r="AC37" s="178"/>
      <c r="AD37" s="178"/>
    </row>
    <row r="38" spans="1:30" ht="15.75" thickBot="1" x14ac:dyDescent="0.3">
      <c r="A38" s="180"/>
      <c r="B38" s="265" t="s">
        <v>37</v>
      </c>
      <c r="C38" s="264" t="s">
        <v>36</v>
      </c>
      <c r="D38" s="257">
        <v>710.7</v>
      </c>
      <c r="E38" s="257">
        <v>1729.4</v>
      </c>
      <c r="F38" s="257">
        <v>11</v>
      </c>
      <c r="G38" s="263">
        <f>SUM(D38:F38)</f>
        <v>2451.1000000000004</v>
      </c>
      <c r="H38" s="256">
        <v>1.7</v>
      </c>
      <c r="I38" s="255">
        <f>G38+H38</f>
        <v>2452.8000000000002</v>
      </c>
      <c r="J38" s="258">
        <v>243.6</v>
      </c>
      <c r="K38" s="257">
        <v>477.5</v>
      </c>
      <c r="L38" s="257">
        <v>50</v>
      </c>
      <c r="M38" s="256">
        <f>SUM(J38:L38)</f>
        <v>771.1</v>
      </c>
      <c r="N38" s="256">
        <v>1</v>
      </c>
      <c r="O38" s="255">
        <f>M38+N38</f>
        <v>772.1</v>
      </c>
      <c r="P38" s="258">
        <v>94.3</v>
      </c>
      <c r="Q38" s="257">
        <v>391.2</v>
      </c>
      <c r="R38" s="257">
        <v>50.2</v>
      </c>
      <c r="S38" s="256">
        <f>SUM(P38:R38)</f>
        <v>535.70000000000005</v>
      </c>
      <c r="T38" s="256"/>
      <c r="U38" s="255">
        <f>S38+T38</f>
        <v>535.70000000000005</v>
      </c>
      <c r="V38" s="461">
        <f>233.5+ 2.6+3.2</f>
        <v>239.29999999999998</v>
      </c>
      <c r="W38" s="460">
        <f>1993.5+3.8+0.8+7.9</f>
        <v>2006</v>
      </c>
      <c r="X38" s="257">
        <v>50</v>
      </c>
      <c r="Y38" s="256">
        <f>SUM(V38:X38)</f>
        <v>2295.3000000000002</v>
      </c>
      <c r="Z38" s="256">
        <v>1</v>
      </c>
      <c r="AA38" s="255">
        <f>Y38+Z38</f>
        <v>2296.3000000000002</v>
      </c>
      <c r="AB38" s="254">
        <f>(AA38/O38)</f>
        <v>2.9740966196088592</v>
      </c>
      <c r="AC38" s="178"/>
      <c r="AD38" s="178"/>
    </row>
    <row r="39" spans="1:30" ht="15.75" thickBot="1" x14ac:dyDescent="0.3">
      <c r="A39" s="180"/>
      <c r="B39" s="253" t="s">
        <v>35</v>
      </c>
      <c r="C39" s="252" t="s">
        <v>34</v>
      </c>
      <c r="D39" s="251">
        <f>SUM(D35:D38)+SUM(D28:D32)</f>
        <v>5570.2000000000007</v>
      </c>
      <c r="E39" s="251">
        <f>SUM(E35:E38)+SUM(E28:E32)</f>
        <v>40948.1</v>
      </c>
      <c r="F39" s="251">
        <f>SUM(F35:F38)+SUM(F28:F32)</f>
        <v>1713.4</v>
      </c>
      <c r="G39" s="250">
        <f>SUM(D39:F39)</f>
        <v>48231.700000000004</v>
      </c>
      <c r="H39" s="249">
        <f>SUM(H28:H32)+SUM(H35:H38)</f>
        <v>185.3</v>
      </c>
      <c r="I39" s="248">
        <f>SUM(I35:I38)+SUM(I28:I32)</f>
        <v>48417</v>
      </c>
      <c r="J39" s="251">
        <f>SUM(J35:J38)+SUM(J28:J32)</f>
        <v>5459.5999999999995</v>
      </c>
      <c r="K39" s="251">
        <f>SUM(K35:K38)+SUM(K28:K32)</f>
        <v>37594.6</v>
      </c>
      <c r="L39" s="251">
        <f>SUM(L35:L38)+SUM(L28:L32)</f>
        <v>3158.2</v>
      </c>
      <c r="M39" s="250">
        <f>SUM(J39:L39)</f>
        <v>46212.399999999994</v>
      </c>
      <c r="N39" s="249">
        <f>SUM(N28:N32)+SUM(N35:N38)</f>
        <v>530</v>
      </c>
      <c r="O39" s="248">
        <f>SUM(O35:O38)+SUM(O28:O32)</f>
        <v>46742.400000000001</v>
      </c>
      <c r="P39" s="251">
        <f>SUM(P35:P38)+SUM(P28:P32)</f>
        <v>2733.1</v>
      </c>
      <c r="Q39" s="251">
        <f>SUM(Q35:Q38)+SUM(Q28:Q32)</f>
        <v>19814.800000000003</v>
      </c>
      <c r="R39" s="251">
        <f>SUM(R35:R38)+SUM(R28:R32)</f>
        <v>1372.5</v>
      </c>
      <c r="S39" s="250">
        <f>SUM(P39:R39)</f>
        <v>23920.400000000001</v>
      </c>
      <c r="T39" s="249">
        <f>SUM(T28:T32)+SUM(T35:T38)</f>
        <v>0</v>
      </c>
      <c r="U39" s="248">
        <f>SUM(U35:U38)+SUM(U28:U32)</f>
        <v>23920.399999999998</v>
      </c>
      <c r="V39" s="251">
        <f>SUM(V35:V38)+SUM(V28:V32)</f>
        <v>5576</v>
      </c>
      <c r="W39" s="251">
        <f>SUM(W35:W38)+SUM(W28:W32)</f>
        <v>44412.1</v>
      </c>
      <c r="X39" s="251">
        <f>SUM(X35:X38)+SUM(X28:X32)</f>
        <v>3012</v>
      </c>
      <c r="Y39" s="250">
        <f>SUM(V39:X39)</f>
        <v>53000.1</v>
      </c>
      <c r="Z39" s="249">
        <f>SUM(Z28:Z32)+SUM(Z35:Z38)</f>
        <v>447</v>
      </c>
      <c r="AA39" s="248">
        <f>SUM(AA35:AA38)+SUM(AA28:AA32)</f>
        <v>53447.100000000006</v>
      </c>
      <c r="AB39" s="247">
        <f>(AA39/O39)</f>
        <v>1.143439361265147</v>
      </c>
      <c r="AC39" s="178"/>
      <c r="AD39" s="178"/>
    </row>
    <row r="40" spans="1:30" ht="19.5" thickBot="1" x14ac:dyDescent="0.35">
      <c r="A40" s="180"/>
      <c r="B40" s="246" t="s">
        <v>33</v>
      </c>
      <c r="C40" s="245" t="s">
        <v>32</v>
      </c>
      <c r="D40" s="244">
        <f>D24-D39</f>
        <v>161.09999999999945</v>
      </c>
      <c r="E40" s="244">
        <f>E24-E39</f>
        <v>0</v>
      </c>
      <c r="F40" s="244">
        <f>F24-F39</f>
        <v>22.099999999999682</v>
      </c>
      <c r="G40" s="243">
        <f>G24-G39</f>
        <v>183.19999999999709</v>
      </c>
      <c r="H40" s="243">
        <f>H24-H39</f>
        <v>11.300000000000011</v>
      </c>
      <c r="I40" s="242">
        <f>I24-I39</f>
        <v>194.50000000000728</v>
      </c>
      <c r="J40" s="244">
        <f>J24-J39</f>
        <v>0</v>
      </c>
      <c r="K40" s="244">
        <f>K24-K39</f>
        <v>0</v>
      </c>
      <c r="L40" s="244">
        <f>L24-L39</f>
        <v>0</v>
      </c>
      <c r="M40" s="243">
        <f>M24-M39</f>
        <v>0</v>
      </c>
      <c r="N40" s="243">
        <f>N24-N39</f>
        <v>0</v>
      </c>
      <c r="O40" s="242">
        <f>O24-O39</f>
        <v>0</v>
      </c>
      <c r="P40" s="244">
        <f>P24-P39</f>
        <v>-186.90000000000009</v>
      </c>
      <c r="Q40" s="244">
        <f>Q24-Q39</f>
        <v>2726.6999999999971</v>
      </c>
      <c r="R40" s="244">
        <f>R24-R39</f>
        <v>700.60000000000036</v>
      </c>
      <c r="S40" s="243">
        <f>S24-S39</f>
        <v>3240.4000000000015</v>
      </c>
      <c r="T40" s="243">
        <f>T24-T39</f>
        <v>127.3</v>
      </c>
      <c r="U40" s="242">
        <f>U24-U39</f>
        <v>3367.7000000000007</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-4867.2999999999929</v>
      </c>
      <c r="J41" s="237"/>
      <c r="K41" s="236"/>
      <c r="L41" s="236"/>
      <c r="M41" s="235"/>
      <c r="N41" s="234"/>
      <c r="O41" s="233">
        <f>O40-J16</f>
        <v>-4723.3999999999996</v>
      </c>
      <c r="P41" s="237"/>
      <c r="Q41" s="236"/>
      <c r="R41" s="236"/>
      <c r="S41" s="235"/>
      <c r="T41" s="234"/>
      <c r="U41" s="233">
        <f>U40-P16</f>
        <v>1189.6000000000008</v>
      </c>
      <c r="V41" s="237"/>
      <c r="W41" s="236"/>
      <c r="X41" s="236"/>
      <c r="Y41" s="235"/>
      <c r="Z41" s="234"/>
      <c r="AA41" s="233">
        <f>AA40-V16</f>
        <v>-5060</v>
      </c>
      <c r="AB41" s="232">
        <f>(AA41/O41)</f>
        <v>1.0712622263623661</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665.3</v>
      </c>
      <c r="E44" s="225">
        <v>665.3</v>
      </c>
      <c r="F44" s="224">
        <v>0</v>
      </c>
      <c r="G44" s="202"/>
      <c r="H44" s="202"/>
      <c r="I44" s="201"/>
      <c r="J44" s="214">
        <v>915.7</v>
      </c>
      <c r="K44" s="225">
        <v>915.7</v>
      </c>
      <c r="L44" s="224">
        <v>0</v>
      </c>
      <c r="M44" s="223"/>
      <c r="N44" s="223"/>
      <c r="O44" s="223"/>
      <c r="P44" s="214">
        <v>159.4</v>
      </c>
      <c r="Q44" s="225">
        <v>159.4</v>
      </c>
      <c r="R44" s="224">
        <v>0</v>
      </c>
      <c r="S44" s="178" t="s">
        <v>197</v>
      </c>
      <c r="T44" s="178"/>
      <c r="U44" s="178"/>
      <c r="V44" s="459">
        <v>637.5</v>
      </c>
      <c r="W44" s="225">
        <v>637.5</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f>SUM(D51:D54)</f>
        <v>3058.9</v>
      </c>
      <c r="E50" s="210">
        <f>SUM(E51:E54)</f>
        <v>2592.6</v>
      </c>
      <c r="F50" s="210">
        <f>SUM(F51:F54)</f>
        <v>2335.3000000000002</v>
      </c>
      <c r="G50" s="210">
        <f>SUM(G51:G54)</f>
        <v>3316.2000000000003</v>
      </c>
      <c r="H50" s="202"/>
      <c r="I50" s="178"/>
      <c r="J50" s="210">
        <f>SUM(J51:J54)</f>
        <v>2304.6999999999998</v>
      </c>
      <c r="K50" s="210">
        <f>SUM(K51:K54)</f>
        <v>1560.5</v>
      </c>
      <c r="L50" s="210">
        <f>SUM(L51:L54)</f>
        <v>1455</v>
      </c>
      <c r="M50" s="209">
        <f>J50+K50-L50</f>
        <v>2410.1999999999998</v>
      </c>
      <c r="N50" s="178"/>
      <c r="O50" s="178"/>
      <c r="P50" s="210">
        <f>SUM(P51:P54)</f>
        <v>3316.1000000000004</v>
      </c>
      <c r="Q50" s="210">
        <f>SUM(Q51:Q54)</f>
        <v>943.4</v>
      </c>
      <c r="R50" s="210">
        <f>SUM(R51:R54)</f>
        <v>1640</v>
      </c>
      <c r="S50" s="209">
        <f>P50+Q50-R50</f>
        <v>2619.5</v>
      </c>
      <c r="T50" s="178"/>
      <c r="U50" s="178"/>
      <c r="V50" s="210">
        <f>SUM(V51:V54)</f>
        <v>2410.1999999999998</v>
      </c>
      <c r="W50" s="210">
        <f>SUM(W51:W54)</f>
        <v>1760.4</v>
      </c>
      <c r="X50" s="210">
        <f>SUM(X51:X54)</f>
        <v>1304.5</v>
      </c>
      <c r="Y50" s="209">
        <f>V50+W50-X50</f>
        <v>2866.1000000000004</v>
      </c>
      <c r="Z50" s="178"/>
      <c r="AA50" s="178"/>
      <c r="AB50" s="178"/>
      <c r="AC50" s="178"/>
      <c r="AD50" s="178"/>
    </row>
    <row r="51" spans="1:30" x14ac:dyDescent="0.25">
      <c r="A51" s="180"/>
      <c r="B51" s="204"/>
      <c r="C51" s="206" t="s">
        <v>15</v>
      </c>
      <c r="D51" s="210">
        <v>2000.7</v>
      </c>
      <c r="E51" s="210">
        <v>1110.8</v>
      </c>
      <c r="F51" s="210">
        <v>1022.1</v>
      </c>
      <c r="G51" s="209">
        <f>D51+E51-F51</f>
        <v>2089.4</v>
      </c>
      <c r="H51" s="202"/>
      <c r="I51" s="178"/>
      <c r="J51" s="210">
        <v>992.1</v>
      </c>
      <c r="K51" s="210">
        <v>45</v>
      </c>
      <c r="L51" s="210">
        <v>150</v>
      </c>
      <c r="M51" s="209">
        <f>J51+K51-L51</f>
        <v>887.09999999999991</v>
      </c>
      <c r="N51" s="178"/>
      <c r="O51" s="178"/>
      <c r="P51" s="210">
        <v>2089.4</v>
      </c>
      <c r="Q51" s="210">
        <v>155.6</v>
      </c>
      <c r="R51" s="210">
        <v>1061.4000000000001</v>
      </c>
      <c r="S51" s="209">
        <f>P51+Q51-R51</f>
        <v>1183.5999999999999</v>
      </c>
      <c r="T51" s="178"/>
      <c r="U51" s="178"/>
      <c r="V51" s="210">
        <v>887.1</v>
      </c>
      <c r="W51" s="210">
        <v>217</v>
      </c>
      <c r="X51" s="210">
        <v>90</v>
      </c>
      <c r="Y51" s="209">
        <f>V51+W51-X51</f>
        <v>1014.0999999999999</v>
      </c>
      <c r="Z51" s="178"/>
      <c r="AA51" s="178"/>
      <c r="AB51" s="178"/>
      <c r="AC51" s="178"/>
      <c r="AD51" s="178"/>
    </row>
    <row r="52" spans="1:30" x14ac:dyDescent="0.25">
      <c r="A52" s="180"/>
      <c r="B52" s="204"/>
      <c r="C52" s="206" t="s">
        <v>14</v>
      </c>
      <c r="D52" s="210">
        <v>247</v>
      </c>
      <c r="E52" s="210">
        <v>887.9</v>
      </c>
      <c r="F52" s="210">
        <v>747</v>
      </c>
      <c r="G52" s="209">
        <f>D52+E52-F52</f>
        <v>387.90000000000009</v>
      </c>
      <c r="H52" s="202"/>
      <c r="I52" s="178"/>
      <c r="J52" s="210">
        <v>401.3</v>
      </c>
      <c r="K52" s="210">
        <v>920</v>
      </c>
      <c r="L52" s="210">
        <v>800</v>
      </c>
      <c r="M52" s="209">
        <f>J52+K52-L52</f>
        <v>521.29999999999995</v>
      </c>
      <c r="N52" s="178"/>
      <c r="O52" s="178"/>
      <c r="P52" s="210">
        <v>387.9</v>
      </c>
      <c r="Q52" s="210">
        <v>453.4</v>
      </c>
      <c r="R52" s="210">
        <v>318.7</v>
      </c>
      <c r="S52" s="209">
        <f>P52+Q52-R52</f>
        <v>522.59999999999991</v>
      </c>
      <c r="T52" s="178"/>
      <c r="U52" s="178"/>
      <c r="V52" s="210">
        <v>521.29999999999995</v>
      </c>
      <c r="W52" s="210">
        <v>910</v>
      </c>
      <c r="X52" s="458">
        <v>637.5</v>
      </c>
      <c r="Y52" s="209">
        <f>V52+W52-X52</f>
        <v>793.8</v>
      </c>
      <c r="Z52" s="178"/>
      <c r="AA52" s="178"/>
      <c r="AB52" s="178"/>
      <c r="AC52" s="178"/>
      <c r="AD52" s="178"/>
    </row>
    <row r="53" spans="1:30" x14ac:dyDescent="0.25">
      <c r="A53" s="180"/>
      <c r="B53" s="204"/>
      <c r="C53" s="206" t="s">
        <v>13</v>
      </c>
      <c r="D53" s="210">
        <v>131.30000000000001</v>
      </c>
      <c r="E53" s="210">
        <v>5</v>
      </c>
      <c r="F53" s="210">
        <v>2</v>
      </c>
      <c r="G53" s="209">
        <f>D53+E53-F53</f>
        <v>134.30000000000001</v>
      </c>
      <c r="H53" s="202"/>
      <c r="I53" s="178"/>
      <c r="J53" s="210">
        <v>131.30000000000001</v>
      </c>
      <c r="K53" s="210">
        <v>10</v>
      </c>
      <c r="L53" s="210">
        <v>5</v>
      </c>
      <c r="M53" s="209">
        <f>J53+K53-L53</f>
        <v>136.30000000000001</v>
      </c>
      <c r="N53" s="178"/>
      <c r="O53" s="178"/>
      <c r="P53" s="210">
        <v>134.30000000000001</v>
      </c>
      <c r="Q53" s="210">
        <v>38.9</v>
      </c>
      <c r="R53" s="210">
        <v>0</v>
      </c>
      <c r="S53" s="209">
        <f>P53+Q53-R53</f>
        <v>173.20000000000002</v>
      </c>
      <c r="T53" s="178"/>
      <c r="U53" s="178"/>
      <c r="V53" s="210">
        <v>136.30000000000001</v>
      </c>
      <c r="W53" s="210">
        <v>11</v>
      </c>
      <c r="X53" s="210">
        <v>7</v>
      </c>
      <c r="Y53" s="209">
        <f>V53+W53-X53</f>
        <v>140.30000000000001</v>
      </c>
      <c r="Z53" s="178"/>
      <c r="AA53" s="178"/>
      <c r="AB53" s="178"/>
      <c r="AC53" s="178"/>
      <c r="AD53" s="178"/>
    </row>
    <row r="54" spans="1:30" x14ac:dyDescent="0.25">
      <c r="A54" s="180"/>
      <c r="B54" s="204"/>
      <c r="C54" s="212" t="s">
        <v>12</v>
      </c>
      <c r="D54" s="210">
        <v>679.9</v>
      </c>
      <c r="E54" s="210">
        <v>588.9</v>
      </c>
      <c r="F54" s="210">
        <v>564.20000000000005</v>
      </c>
      <c r="G54" s="209">
        <f>D54+E54-F54</f>
        <v>704.59999999999991</v>
      </c>
      <c r="H54" s="202"/>
      <c r="I54" s="178"/>
      <c r="J54" s="210">
        <v>780</v>
      </c>
      <c r="K54" s="210">
        <v>585.5</v>
      </c>
      <c r="L54" s="210">
        <v>500</v>
      </c>
      <c r="M54" s="209">
        <f>J54+K54-L54</f>
        <v>865.5</v>
      </c>
      <c r="N54" s="178"/>
      <c r="O54" s="178"/>
      <c r="P54" s="210">
        <v>704.5</v>
      </c>
      <c r="Q54" s="210">
        <v>295.5</v>
      </c>
      <c r="R54" s="210">
        <v>259.89999999999998</v>
      </c>
      <c r="S54" s="209">
        <f>P54+Q54-R54</f>
        <v>740.1</v>
      </c>
      <c r="T54" s="178"/>
      <c r="U54" s="178"/>
      <c r="V54" s="210">
        <v>865.5</v>
      </c>
      <c r="W54" s="210">
        <v>622.4</v>
      </c>
      <c r="X54" s="210">
        <v>570</v>
      </c>
      <c r="Y54" s="209">
        <f>V54+W54-X54</f>
        <v>917.90000000000009</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71</v>
      </c>
      <c r="E57" s="205">
        <v>65</v>
      </c>
      <c r="F57" s="202"/>
      <c r="G57" s="202"/>
      <c r="H57" s="202"/>
      <c r="I57" s="201"/>
      <c r="J57" s="205">
        <v>70.3</v>
      </c>
      <c r="K57" s="202"/>
      <c r="L57" s="202"/>
      <c r="M57" s="202"/>
      <c r="N57" s="202"/>
      <c r="O57" s="201"/>
      <c r="P57" s="205">
        <v>71.099999999999994</v>
      </c>
      <c r="Q57" s="201"/>
      <c r="R57" s="201"/>
      <c r="S57" s="201"/>
      <c r="T57" s="201"/>
      <c r="U57" s="201"/>
      <c r="V57" s="205">
        <v>70.3</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t="s">
        <v>196</v>
      </c>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t="s">
        <v>195</v>
      </c>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421" t="s">
        <v>194</v>
      </c>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t="s">
        <v>193</v>
      </c>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421" t="s">
        <v>192</v>
      </c>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421" t="s">
        <v>191</v>
      </c>
      <c r="C70" s="422"/>
      <c r="D70" s="42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421" t="s">
        <v>190</v>
      </c>
      <c r="C71" s="422"/>
      <c r="D71" s="42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457">
        <v>44502</v>
      </c>
      <c r="D91" s="179" t="s">
        <v>4</v>
      </c>
      <c r="E91" s="184" t="s">
        <v>189</v>
      </c>
      <c r="F91" s="184"/>
      <c r="G91" s="184"/>
      <c r="H91" s="179"/>
      <c r="I91" s="179" t="s">
        <v>2</v>
      </c>
      <c r="J91" s="183" t="s">
        <v>188</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113" ht="15" hidden="1" customHeight="1" x14ac:dyDescent="0.25"/>
    <row r="127" ht="15" hidden="1" customHeight="1" x14ac:dyDescent="0.25"/>
    <row r="128" ht="15" hidden="1" customHeight="1" x14ac:dyDescent="0.25"/>
  </sheetData>
  <mergeCells count="65">
    <mergeCell ref="B10:B13"/>
    <mergeCell ref="J10:O10"/>
    <mergeCell ref="J11:M11"/>
    <mergeCell ref="J12:O12"/>
    <mergeCell ref="J13:L13"/>
    <mergeCell ref="M13:M14"/>
    <mergeCell ref="N13:N14"/>
    <mergeCell ref="N26:N27"/>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91:G91"/>
    <mergeCell ref="J91:M91"/>
    <mergeCell ref="B63:U63"/>
    <mergeCell ref="B82:U82"/>
    <mergeCell ref="H26:H27"/>
    <mergeCell ref="I26:I27"/>
    <mergeCell ref="V10:AA10"/>
    <mergeCell ref="V25:AA25"/>
    <mergeCell ref="Y13:Y14"/>
    <mergeCell ref="Z13:Z14"/>
    <mergeCell ref="S13:S14"/>
    <mergeCell ref="T13:T14"/>
    <mergeCell ref="U13:U14"/>
    <mergeCell ref="P25:U25"/>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cfRule type="cellIs" dxfId="19" priority="3" operator="equal">
      <formula>0</formula>
    </cfRule>
    <cfRule type="containsErrors" dxfId="18" priority="4">
      <formula>ISERROR(AB15)</formula>
    </cfRule>
  </conditionalFormatting>
  <conditionalFormatting sqref="AB28:AB41">
    <cfRule type="cellIs" dxfId="17" priority="1" operator="equal">
      <formula>0</formula>
    </cfRule>
    <cfRule type="containsErrors" dxfId="16" priority="2">
      <formula>ISERROR(AB28)</formula>
    </cfRule>
  </conditionalFormatting>
  <pageMargins left="0.70866141732283472" right="0.70866141732283472" top="0.78740157480314965" bottom="0.78740157480314965" header="0.31496062992125984" footer="0.31496062992125984"/>
  <pageSetup paperSize="8" scale="4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276"/>
  <sheetViews>
    <sheetView showGridLines="0" view="pageBreakPreview" zoomScale="80" zoomScaleNormal="80" zoomScaleSheetLayoutView="80" workbookViewId="0">
      <selection activeCell="L24" sqref="A1:U24"/>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129</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72744260</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128</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6069</v>
      </c>
      <c r="G15" s="366">
        <f>SUM(D15:F15)</f>
        <v>6069</v>
      </c>
      <c r="H15" s="352">
        <v>83.5</v>
      </c>
      <c r="I15" s="266">
        <f>G15+H15</f>
        <v>6152.5</v>
      </c>
      <c r="J15" s="369"/>
      <c r="K15" s="368"/>
      <c r="L15" s="367">
        <v>9200</v>
      </c>
      <c r="M15" s="366">
        <f>SUM(J15:L15)</f>
        <v>9200</v>
      </c>
      <c r="N15" s="352">
        <v>110</v>
      </c>
      <c r="O15" s="266">
        <f>M15+N15</f>
        <v>9310</v>
      </c>
      <c r="P15" s="369"/>
      <c r="Q15" s="368"/>
      <c r="R15" s="367">
        <v>3167</v>
      </c>
      <c r="S15" s="366">
        <f>SUM(P15:R15)</f>
        <v>3167</v>
      </c>
      <c r="T15" s="352">
        <v>32</v>
      </c>
      <c r="U15" s="266">
        <f>S15+T15</f>
        <v>3199</v>
      </c>
      <c r="V15" s="369"/>
      <c r="W15" s="368"/>
      <c r="X15" s="367">
        <v>9500</v>
      </c>
      <c r="Y15" s="366">
        <f>SUM(V15:X15)</f>
        <v>9500</v>
      </c>
      <c r="Z15" s="352">
        <v>64</v>
      </c>
      <c r="AA15" s="266">
        <f>Y15+Z15</f>
        <v>9564</v>
      </c>
      <c r="AB15" s="232">
        <f>(AA15/O15)</f>
        <v>1.0272824919441461</v>
      </c>
      <c r="AC15" s="178"/>
      <c r="AD15" s="178"/>
    </row>
    <row r="16" spans="1:30" x14ac:dyDescent="0.25">
      <c r="A16" s="180"/>
      <c r="B16" s="274" t="s">
        <v>86</v>
      </c>
      <c r="C16" s="361" t="s">
        <v>85</v>
      </c>
      <c r="D16" s="360">
        <v>13754.8</v>
      </c>
      <c r="E16" s="343"/>
      <c r="F16" s="343"/>
      <c r="G16" s="341">
        <f>SUM(D16:F16)</f>
        <v>13754.8</v>
      </c>
      <c r="H16" s="358"/>
      <c r="I16" s="266">
        <f>G16+H16</f>
        <v>13754.8</v>
      </c>
      <c r="J16" s="360">
        <v>12400</v>
      </c>
      <c r="K16" s="343"/>
      <c r="L16" s="343"/>
      <c r="M16" s="341">
        <f>SUM(J16:L16)</f>
        <v>12400</v>
      </c>
      <c r="N16" s="358"/>
      <c r="O16" s="266">
        <f>M16+N16</f>
        <v>12400</v>
      </c>
      <c r="P16" s="360">
        <v>6139.1</v>
      </c>
      <c r="Q16" s="343"/>
      <c r="R16" s="343"/>
      <c r="S16" s="341">
        <f>SUM(P16:R16)</f>
        <v>6139.1</v>
      </c>
      <c r="T16" s="358"/>
      <c r="U16" s="266">
        <f>S16+T16</f>
        <v>6139.1</v>
      </c>
      <c r="V16" s="360">
        <v>13320</v>
      </c>
      <c r="W16" s="343"/>
      <c r="X16" s="343"/>
      <c r="Y16" s="341">
        <f>SUM(V16:X16)</f>
        <v>13320</v>
      </c>
      <c r="Z16" s="358"/>
      <c r="AA16" s="266">
        <f>Y16+Z16</f>
        <v>13320</v>
      </c>
      <c r="AB16" s="232">
        <f>(AA16/O16)</f>
        <v>1.0741935483870968</v>
      </c>
      <c r="AC16" s="178"/>
      <c r="AD16" s="178"/>
    </row>
    <row r="17" spans="1:30" x14ac:dyDescent="0.25">
      <c r="A17" s="180"/>
      <c r="B17" s="274" t="s">
        <v>84</v>
      </c>
      <c r="C17" s="357" t="s">
        <v>83</v>
      </c>
      <c r="D17" s="356">
        <v>213.1</v>
      </c>
      <c r="E17" s="350"/>
      <c r="F17" s="350"/>
      <c r="G17" s="341">
        <f>SUM(D17:F17)</f>
        <v>213.1</v>
      </c>
      <c r="H17" s="355"/>
      <c r="I17" s="266">
        <f>G17+H17</f>
        <v>213.1</v>
      </c>
      <c r="J17" s="356"/>
      <c r="K17" s="350"/>
      <c r="L17" s="350"/>
      <c r="M17" s="341">
        <f>SUM(J17:L17)</f>
        <v>0</v>
      </c>
      <c r="N17" s="355"/>
      <c r="O17" s="266">
        <f>M17+N17</f>
        <v>0</v>
      </c>
      <c r="P17" s="356">
        <v>263.39999999999998</v>
      </c>
      <c r="Q17" s="350"/>
      <c r="R17" s="350"/>
      <c r="S17" s="341">
        <f>SUM(P17:R17)</f>
        <v>263.39999999999998</v>
      </c>
      <c r="T17" s="355"/>
      <c r="U17" s="266">
        <f>S17+T17</f>
        <v>263.39999999999998</v>
      </c>
      <c r="V17" s="356">
        <v>329.7</v>
      </c>
      <c r="W17" s="350"/>
      <c r="X17" s="350"/>
      <c r="Y17" s="341">
        <f>SUM(V17:X17)</f>
        <v>329.7</v>
      </c>
      <c r="Z17" s="355"/>
      <c r="AA17" s="266">
        <f>Y17+Z17</f>
        <v>329.7</v>
      </c>
      <c r="AB17" s="232" t="e">
        <f>(AA17/O17)</f>
        <v>#DIV/0!</v>
      </c>
      <c r="AC17" s="178"/>
      <c r="AD17" s="178"/>
    </row>
    <row r="18" spans="1:30" x14ac:dyDescent="0.25">
      <c r="A18" s="180"/>
      <c r="B18" s="274" t="s">
        <v>82</v>
      </c>
      <c r="C18" s="354" t="s">
        <v>81</v>
      </c>
      <c r="D18" s="344"/>
      <c r="E18" s="353">
        <v>97230.9</v>
      </c>
      <c r="F18" s="350"/>
      <c r="G18" s="341">
        <f>SUM(D18:F18)</f>
        <v>97230.9</v>
      </c>
      <c r="H18" s="352">
        <v>0</v>
      </c>
      <c r="I18" s="266">
        <f>G18+H18</f>
        <v>97230.9</v>
      </c>
      <c r="J18" s="344"/>
      <c r="K18" s="353">
        <v>95900</v>
      </c>
      <c r="L18" s="350"/>
      <c r="M18" s="341">
        <f>SUM(J18:L18)</f>
        <v>95900</v>
      </c>
      <c r="N18" s="352">
        <v>0</v>
      </c>
      <c r="O18" s="266">
        <f>M18+N18</f>
        <v>95900</v>
      </c>
      <c r="P18" s="344"/>
      <c r="Q18" s="353">
        <v>53584.5</v>
      </c>
      <c r="R18" s="350"/>
      <c r="S18" s="341">
        <f>SUM(P18:R18)</f>
        <v>53584.5</v>
      </c>
      <c r="T18" s="352">
        <v>0</v>
      </c>
      <c r="U18" s="266">
        <f>S18+T18</f>
        <v>53584.5</v>
      </c>
      <c r="V18" s="344"/>
      <c r="W18" s="353">
        <v>104740</v>
      </c>
      <c r="X18" s="350"/>
      <c r="Y18" s="341">
        <f>SUM(V18:X18)</f>
        <v>104740</v>
      </c>
      <c r="Z18" s="352">
        <v>0</v>
      </c>
      <c r="AA18" s="266">
        <f>Y18+Z18</f>
        <v>104740</v>
      </c>
      <c r="AB18" s="232">
        <f>(AA18/O18)</f>
        <v>1.092179353493222</v>
      </c>
      <c r="AC18" s="178"/>
      <c r="AD18" s="178"/>
    </row>
    <row r="19" spans="1:30" x14ac:dyDescent="0.25">
      <c r="A19" s="180"/>
      <c r="B19" s="274" t="s">
        <v>80</v>
      </c>
      <c r="C19" s="280" t="s">
        <v>79</v>
      </c>
      <c r="D19" s="351"/>
      <c r="E19" s="350"/>
      <c r="F19" s="347">
        <v>117</v>
      </c>
      <c r="G19" s="341">
        <f>SUM(D19:F19)</f>
        <v>117</v>
      </c>
      <c r="H19" s="345">
        <v>0</v>
      </c>
      <c r="I19" s="266">
        <f>G19+H19</f>
        <v>117</v>
      </c>
      <c r="J19" s="351"/>
      <c r="K19" s="350"/>
      <c r="L19" s="347">
        <v>117</v>
      </c>
      <c r="M19" s="341">
        <f>SUM(J19:L19)</f>
        <v>117</v>
      </c>
      <c r="N19" s="345">
        <v>0</v>
      </c>
      <c r="O19" s="266">
        <f>M19+N19</f>
        <v>117</v>
      </c>
      <c r="P19" s="351"/>
      <c r="Q19" s="350"/>
      <c r="R19" s="347">
        <v>73</v>
      </c>
      <c r="S19" s="341">
        <f>SUM(P19:R19)</f>
        <v>73</v>
      </c>
      <c r="T19" s="345">
        <v>0</v>
      </c>
      <c r="U19" s="266">
        <f>S19+T19</f>
        <v>73</v>
      </c>
      <c r="V19" s="351"/>
      <c r="W19" s="350"/>
      <c r="X19" s="347">
        <v>287</v>
      </c>
      <c r="Y19" s="341">
        <f>SUM(V19:X19)</f>
        <v>287</v>
      </c>
      <c r="Z19" s="345">
        <v>0</v>
      </c>
      <c r="AA19" s="266">
        <f>Y19+Z19</f>
        <v>287</v>
      </c>
      <c r="AB19" s="232">
        <f>(AA19/O19)</f>
        <v>2.4529914529914532</v>
      </c>
      <c r="AC19" s="178"/>
      <c r="AD19" s="178"/>
    </row>
    <row r="20" spans="1:30" x14ac:dyDescent="0.25">
      <c r="A20" s="180"/>
      <c r="B20" s="274" t="s">
        <v>78</v>
      </c>
      <c r="C20" s="346" t="s">
        <v>77</v>
      </c>
      <c r="D20" s="344"/>
      <c r="E20" s="343"/>
      <c r="F20" s="342">
        <v>172</v>
      </c>
      <c r="G20" s="341">
        <f>SUM(D20:F20)</f>
        <v>172</v>
      </c>
      <c r="H20" s="345">
        <v>0</v>
      </c>
      <c r="I20" s="266">
        <f>G20+H20</f>
        <v>172</v>
      </c>
      <c r="J20" s="344"/>
      <c r="K20" s="343"/>
      <c r="L20" s="342">
        <v>150</v>
      </c>
      <c r="M20" s="341">
        <f>SUM(J20:L20)</f>
        <v>150</v>
      </c>
      <c r="N20" s="345">
        <v>0</v>
      </c>
      <c r="O20" s="266">
        <f>M20+N20</f>
        <v>150</v>
      </c>
      <c r="P20" s="344"/>
      <c r="Q20" s="343"/>
      <c r="R20" s="342">
        <v>77</v>
      </c>
      <c r="S20" s="341">
        <f>SUM(P20:R20)</f>
        <v>77</v>
      </c>
      <c r="T20" s="345">
        <v>0</v>
      </c>
      <c r="U20" s="266">
        <f>S20+T20</f>
        <v>77</v>
      </c>
      <c r="V20" s="344"/>
      <c r="W20" s="343"/>
      <c r="X20" s="342">
        <v>150</v>
      </c>
      <c r="Y20" s="341">
        <f>SUM(V20:X20)</f>
        <v>150</v>
      </c>
      <c r="Z20" s="345">
        <v>0</v>
      </c>
      <c r="AA20" s="266">
        <f>Y20+Z20</f>
        <v>150</v>
      </c>
      <c r="AB20" s="232">
        <f>(AA20/O20)</f>
        <v>1</v>
      </c>
      <c r="AC20" s="178"/>
      <c r="AD20" s="178"/>
    </row>
    <row r="21" spans="1:30" x14ac:dyDescent="0.25">
      <c r="A21" s="180"/>
      <c r="B21" s="274" t="s">
        <v>76</v>
      </c>
      <c r="C21" s="273" t="s">
        <v>75</v>
      </c>
      <c r="D21" s="344"/>
      <c r="E21" s="343"/>
      <c r="F21" s="342">
        <v>349</v>
      </c>
      <c r="G21" s="341">
        <f>SUM(D21:F21)</f>
        <v>349</v>
      </c>
      <c r="H21" s="336">
        <v>20</v>
      </c>
      <c r="I21" s="266">
        <f>G21+H21</f>
        <v>369</v>
      </c>
      <c r="J21" s="344"/>
      <c r="K21" s="343"/>
      <c r="L21" s="342">
        <v>130</v>
      </c>
      <c r="M21" s="341">
        <f>SUM(J21:L21)</f>
        <v>130</v>
      </c>
      <c r="N21" s="336">
        <v>30</v>
      </c>
      <c r="O21" s="266">
        <f>M21+N21</f>
        <v>160</v>
      </c>
      <c r="P21" s="344"/>
      <c r="Q21" s="343"/>
      <c r="R21" s="342">
        <v>176</v>
      </c>
      <c r="S21" s="341">
        <f>SUM(P21:R21)</f>
        <v>176</v>
      </c>
      <c r="T21" s="336">
        <v>28</v>
      </c>
      <c r="U21" s="266">
        <f>S21+T21</f>
        <v>204</v>
      </c>
      <c r="V21" s="344"/>
      <c r="W21" s="343"/>
      <c r="X21" s="342">
        <v>150</v>
      </c>
      <c r="Y21" s="341">
        <f>SUM(V21:X21)</f>
        <v>150</v>
      </c>
      <c r="Z21" s="336">
        <v>50</v>
      </c>
      <c r="AA21" s="266">
        <f>Y21+Z21</f>
        <v>200</v>
      </c>
      <c r="AB21" s="232">
        <f>(AA21/O21)</f>
        <v>1.25</v>
      </c>
      <c r="AC21" s="178"/>
      <c r="AD21" s="178"/>
    </row>
    <row r="22" spans="1:30" x14ac:dyDescent="0.25">
      <c r="A22" s="180"/>
      <c r="B22" s="274" t="s">
        <v>74</v>
      </c>
      <c r="C22" s="273" t="s">
        <v>73</v>
      </c>
      <c r="D22" s="344"/>
      <c r="E22" s="343"/>
      <c r="F22" s="342">
        <v>0</v>
      </c>
      <c r="G22" s="341">
        <f>SUM(D22:F22)</f>
        <v>0</v>
      </c>
      <c r="H22" s="336">
        <v>0</v>
      </c>
      <c r="I22" s="266">
        <f>G22+H22</f>
        <v>0</v>
      </c>
      <c r="J22" s="344"/>
      <c r="K22" s="343"/>
      <c r="L22" s="342">
        <v>0</v>
      </c>
      <c r="M22" s="341">
        <f>SUM(J22:L22)</f>
        <v>0</v>
      </c>
      <c r="N22" s="336">
        <v>0</v>
      </c>
      <c r="O22" s="266">
        <f>M22+N22</f>
        <v>0</v>
      </c>
      <c r="P22" s="344"/>
      <c r="Q22" s="343"/>
      <c r="R22" s="342">
        <v>0</v>
      </c>
      <c r="S22" s="341">
        <f>SUM(P22:R22)</f>
        <v>0</v>
      </c>
      <c r="T22" s="336">
        <v>0</v>
      </c>
      <c r="U22" s="266">
        <f>S22+T22</f>
        <v>0</v>
      </c>
      <c r="V22" s="344"/>
      <c r="W22" s="343"/>
      <c r="X22" s="342">
        <v>0</v>
      </c>
      <c r="Y22" s="341">
        <f>SUM(V22:X22)</f>
        <v>0</v>
      </c>
      <c r="Z22" s="336">
        <v>0</v>
      </c>
      <c r="AA22" s="266">
        <f>Y22+Z22</f>
        <v>0</v>
      </c>
      <c r="AB22" s="232" t="e">
        <f>(AA22/O22)</f>
        <v>#DIV/0!</v>
      </c>
      <c r="AC22" s="178"/>
      <c r="AD22" s="178"/>
    </row>
    <row r="23" spans="1:30" ht="15.75" thickBot="1" x14ac:dyDescent="0.3">
      <c r="A23" s="180"/>
      <c r="B23" s="335" t="s">
        <v>72</v>
      </c>
      <c r="C23" s="334" t="s">
        <v>71</v>
      </c>
      <c r="D23" s="333"/>
      <c r="E23" s="332"/>
      <c r="F23" s="331">
        <v>0</v>
      </c>
      <c r="G23" s="330">
        <f>SUM(D23:F23)</f>
        <v>0</v>
      </c>
      <c r="H23" s="325">
        <v>0</v>
      </c>
      <c r="I23" s="255">
        <f>G23+H23</f>
        <v>0</v>
      </c>
      <c r="J23" s="333"/>
      <c r="K23" s="332"/>
      <c r="L23" s="331">
        <v>0</v>
      </c>
      <c r="M23" s="330">
        <f>SUM(J23:L23)</f>
        <v>0</v>
      </c>
      <c r="N23" s="325">
        <v>0</v>
      </c>
      <c r="O23" s="255">
        <f>M23+N23</f>
        <v>0</v>
      </c>
      <c r="P23" s="333"/>
      <c r="Q23" s="332"/>
      <c r="R23" s="331">
        <v>0</v>
      </c>
      <c r="S23" s="330">
        <f>SUM(P23:R23)</f>
        <v>0</v>
      </c>
      <c r="T23" s="325">
        <v>0</v>
      </c>
      <c r="U23" s="255">
        <f>S23+T23</f>
        <v>0</v>
      </c>
      <c r="V23" s="333"/>
      <c r="W23" s="332"/>
      <c r="X23" s="331">
        <v>0</v>
      </c>
      <c r="Y23" s="330">
        <f>SUM(V23:X23)</f>
        <v>0</v>
      </c>
      <c r="Z23" s="325">
        <v>0</v>
      </c>
      <c r="AA23" s="255">
        <f>Y23+Z23</f>
        <v>0</v>
      </c>
      <c r="AB23" s="254" t="e">
        <f>(AA23/O23)</f>
        <v>#DIV/0!</v>
      </c>
      <c r="AC23" s="178"/>
      <c r="AD23" s="178"/>
    </row>
    <row r="24" spans="1:30" ht="15.75" thickBot="1" x14ac:dyDescent="0.3">
      <c r="A24" s="180"/>
      <c r="B24" s="253" t="s">
        <v>70</v>
      </c>
      <c r="C24" s="324" t="s">
        <v>69</v>
      </c>
      <c r="D24" s="323">
        <f>SUM(D15:D21)</f>
        <v>13967.9</v>
      </c>
      <c r="E24" s="322">
        <f>SUM(E15:E21)</f>
        <v>97230.9</v>
      </c>
      <c r="F24" s="322">
        <f>SUM(F15:F21)</f>
        <v>6707</v>
      </c>
      <c r="G24" s="321">
        <f>SUM(D24:F24)</f>
        <v>117905.79999999999</v>
      </c>
      <c r="H24" s="320">
        <f>SUM(H15:H23)</f>
        <v>103.5</v>
      </c>
      <c r="I24" s="320">
        <f>SUM(I15:I21)</f>
        <v>118009.29999999999</v>
      </c>
      <c r="J24" s="323">
        <f>SUM(J15:J21)</f>
        <v>12400</v>
      </c>
      <c r="K24" s="322">
        <f>SUM(K15:K21)</f>
        <v>95900</v>
      </c>
      <c r="L24" s="322">
        <f>SUM(L15:L21)</f>
        <v>9597</v>
      </c>
      <c r="M24" s="321">
        <f>SUM(J24:L24)</f>
        <v>117897</v>
      </c>
      <c r="N24" s="320">
        <f>SUM(N15:N23)</f>
        <v>140</v>
      </c>
      <c r="O24" s="320">
        <f>SUM(O15:O21)</f>
        <v>118037</v>
      </c>
      <c r="P24" s="323">
        <f>SUM(P15:P21)</f>
        <v>6402.5</v>
      </c>
      <c r="Q24" s="322">
        <f>SUM(Q15:Q21)</f>
        <v>53584.5</v>
      </c>
      <c r="R24" s="322">
        <f>SUM(R15:R21)</f>
        <v>3493</v>
      </c>
      <c r="S24" s="321">
        <f>SUM(P24:R24)</f>
        <v>63480</v>
      </c>
      <c r="T24" s="320">
        <f>SUM(T15:T23)</f>
        <v>60</v>
      </c>
      <c r="U24" s="320">
        <f>SUM(U15:U21)</f>
        <v>63540</v>
      </c>
      <c r="V24" s="323">
        <f>SUM(V15:V21)</f>
        <v>13649.7</v>
      </c>
      <c r="W24" s="322">
        <f>SUM(W15:W21)</f>
        <v>104740</v>
      </c>
      <c r="X24" s="322">
        <f>SUM(X15:X21)</f>
        <v>10087</v>
      </c>
      <c r="Y24" s="321">
        <f>SUM(V24:X24)</f>
        <v>128476.7</v>
      </c>
      <c r="Z24" s="320">
        <f>SUM(Z15:Z23)</f>
        <v>114</v>
      </c>
      <c r="AA24" s="320">
        <f>SUM(AA15:AA21)</f>
        <v>128590.7</v>
      </c>
      <c r="AB24" s="319">
        <f>(AA24/O24)</f>
        <v>1.0894101002228114</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2061</v>
      </c>
      <c r="E28" s="287">
        <v>0</v>
      </c>
      <c r="F28" s="287">
        <v>544.70000000000005</v>
      </c>
      <c r="G28" s="286">
        <f>SUM(D28:F28)</f>
        <v>2605.6999999999998</v>
      </c>
      <c r="H28" s="286">
        <v>0</v>
      </c>
      <c r="I28" s="285">
        <f>G28+H28</f>
        <v>2605.6999999999998</v>
      </c>
      <c r="J28" s="288">
        <v>980</v>
      </c>
      <c r="K28" s="287">
        <v>0</v>
      </c>
      <c r="L28" s="287">
        <v>1300</v>
      </c>
      <c r="M28" s="286">
        <f>SUM(J28:L28)</f>
        <v>2280</v>
      </c>
      <c r="N28" s="286">
        <v>0</v>
      </c>
      <c r="O28" s="285">
        <f>M28+N28</f>
        <v>2280</v>
      </c>
      <c r="P28" s="288">
        <v>352</v>
      </c>
      <c r="Q28" s="287">
        <v>0</v>
      </c>
      <c r="R28" s="287">
        <v>42</v>
      </c>
      <c r="S28" s="286">
        <f>SUM(P28:R28)</f>
        <v>394</v>
      </c>
      <c r="T28" s="286">
        <v>0</v>
      </c>
      <c r="U28" s="285">
        <f>S28+T28</f>
        <v>394</v>
      </c>
      <c r="V28" s="288">
        <v>600</v>
      </c>
      <c r="W28" s="287">
        <v>0</v>
      </c>
      <c r="X28" s="287">
        <v>1600</v>
      </c>
      <c r="Y28" s="286">
        <f>SUM(V28:X28)</f>
        <v>2200</v>
      </c>
      <c r="Z28" s="286">
        <v>0</v>
      </c>
      <c r="AA28" s="285">
        <f>Y28+Z28</f>
        <v>2200</v>
      </c>
      <c r="AB28" s="232">
        <f>(AA28/O28)</f>
        <v>0.96491228070175439</v>
      </c>
      <c r="AC28" s="178"/>
      <c r="AD28" s="178"/>
    </row>
    <row r="29" spans="1:30" x14ac:dyDescent="0.25">
      <c r="A29" s="180"/>
      <c r="B29" s="274" t="s">
        <v>56</v>
      </c>
      <c r="C29" s="284" t="s">
        <v>55</v>
      </c>
      <c r="D29" s="282">
        <v>512</v>
      </c>
      <c r="E29" s="282">
        <v>88</v>
      </c>
      <c r="F29" s="282">
        <v>5191.5</v>
      </c>
      <c r="G29" s="263">
        <f>SUM(D29:F29)</f>
        <v>5791.5</v>
      </c>
      <c r="H29" s="281">
        <v>1.1000000000000001</v>
      </c>
      <c r="I29" s="266">
        <f>G29+H29</f>
        <v>5792.6</v>
      </c>
      <c r="J29" s="283">
        <v>500</v>
      </c>
      <c r="K29" s="282">
        <v>50</v>
      </c>
      <c r="L29" s="282">
        <v>6600</v>
      </c>
      <c r="M29" s="263">
        <f>SUM(J29:L29)</f>
        <v>7150</v>
      </c>
      <c r="N29" s="281">
        <v>2</v>
      </c>
      <c r="O29" s="266">
        <f>M29+N29</f>
        <v>7152</v>
      </c>
      <c r="P29" s="283">
        <v>291</v>
      </c>
      <c r="Q29" s="282">
        <v>9</v>
      </c>
      <c r="R29" s="282">
        <v>2687</v>
      </c>
      <c r="S29" s="263">
        <f>SUM(P29:R29)</f>
        <v>2987</v>
      </c>
      <c r="T29" s="281">
        <v>0</v>
      </c>
      <c r="U29" s="266">
        <f>S29+T29</f>
        <v>2987</v>
      </c>
      <c r="V29" s="283">
        <v>717</v>
      </c>
      <c r="W29" s="282">
        <v>20</v>
      </c>
      <c r="X29" s="282">
        <v>6800</v>
      </c>
      <c r="Y29" s="263">
        <f>SUM(V29:X29)</f>
        <v>7537</v>
      </c>
      <c r="Z29" s="281">
        <v>0</v>
      </c>
      <c r="AA29" s="266">
        <f>Y29+Z29</f>
        <v>7537</v>
      </c>
      <c r="AB29" s="232">
        <f>(AA29/O29)</f>
        <v>1.053831096196868</v>
      </c>
      <c r="AC29" s="178"/>
      <c r="AD29" s="178"/>
    </row>
    <row r="30" spans="1:30" x14ac:dyDescent="0.25">
      <c r="A30" s="180"/>
      <c r="B30" s="274" t="s">
        <v>54</v>
      </c>
      <c r="C30" s="273" t="s">
        <v>53</v>
      </c>
      <c r="D30" s="267">
        <v>5833.2</v>
      </c>
      <c r="E30" s="267">
        <v>0</v>
      </c>
      <c r="F30" s="267">
        <v>0</v>
      </c>
      <c r="G30" s="263">
        <f>SUM(D30:F30)</f>
        <v>5833.2</v>
      </c>
      <c r="H30" s="263">
        <v>16.3</v>
      </c>
      <c r="I30" s="266">
        <f>G30+H30</f>
        <v>5849.5</v>
      </c>
      <c r="J30" s="268">
        <v>6800</v>
      </c>
      <c r="K30" s="267">
        <v>0</v>
      </c>
      <c r="L30" s="267">
        <v>0</v>
      </c>
      <c r="M30" s="263">
        <f>SUM(J30:L30)</f>
        <v>6800</v>
      </c>
      <c r="N30" s="263">
        <v>34</v>
      </c>
      <c r="O30" s="266">
        <f>M30+N30</f>
        <v>6834</v>
      </c>
      <c r="P30" s="268">
        <v>3353</v>
      </c>
      <c r="Q30" s="267">
        <v>0</v>
      </c>
      <c r="R30" s="267">
        <v>0</v>
      </c>
      <c r="S30" s="263">
        <f>SUM(P30:R30)</f>
        <v>3353</v>
      </c>
      <c r="T30" s="263">
        <v>0</v>
      </c>
      <c r="U30" s="266">
        <f>S30+T30</f>
        <v>3353</v>
      </c>
      <c r="V30" s="268">
        <v>7275</v>
      </c>
      <c r="W30" s="267">
        <v>0</v>
      </c>
      <c r="X30" s="267">
        <v>0</v>
      </c>
      <c r="Y30" s="263">
        <f>SUM(V30:X30)</f>
        <v>7275</v>
      </c>
      <c r="Z30" s="263">
        <v>0</v>
      </c>
      <c r="AA30" s="266">
        <f>Y30+Z30</f>
        <v>7275</v>
      </c>
      <c r="AB30" s="232">
        <f>(AA30/O30)</f>
        <v>1.0645302897278315</v>
      </c>
      <c r="AC30" s="178"/>
      <c r="AD30" s="178"/>
    </row>
    <row r="31" spans="1:30" x14ac:dyDescent="0.25">
      <c r="A31" s="180"/>
      <c r="B31" s="274" t="s">
        <v>51</v>
      </c>
      <c r="C31" s="273" t="s">
        <v>50</v>
      </c>
      <c r="D31" s="267">
        <v>1204</v>
      </c>
      <c r="E31" s="267">
        <v>1.3</v>
      </c>
      <c r="F31" s="267">
        <v>130</v>
      </c>
      <c r="G31" s="263">
        <f>SUM(D31:F31)</f>
        <v>1335.3</v>
      </c>
      <c r="H31" s="263">
        <v>1.2</v>
      </c>
      <c r="I31" s="266">
        <f>G31+H31</f>
        <v>1336.5</v>
      </c>
      <c r="J31" s="268">
        <v>1100</v>
      </c>
      <c r="K31" s="267">
        <v>50</v>
      </c>
      <c r="L31" s="267">
        <v>700</v>
      </c>
      <c r="M31" s="263">
        <f>SUM(J31:L31)</f>
        <v>1850</v>
      </c>
      <c r="N31" s="263">
        <v>2</v>
      </c>
      <c r="O31" s="266">
        <f>M31+N31</f>
        <v>1852</v>
      </c>
      <c r="P31" s="268">
        <v>787</v>
      </c>
      <c r="Q31" s="267">
        <v>0</v>
      </c>
      <c r="R31" s="267">
        <v>76</v>
      </c>
      <c r="S31" s="263">
        <f>SUM(P31:R31)</f>
        <v>863</v>
      </c>
      <c r="T31" s="263">
        <v>2</v>
      </c>
      <c r="U31" s="266">
        <f>S31+T31</f>
        <v>865</v>
      </c>
      <c r="V31" s="268">
        <v>1400</v>
      </c>
      <c r="W31" s="267">
        <v>100</v>
      </c>
      <c r="X31" s="267">
        <v>900</v>
      </c>
      <c r="Y31" s="263">
        <f>SUM(V31:X31)</f>
        <v>2400</v>
      </c>
      <c r="Z31" s="263">
        <v>2</v>
      </c>
      <c r="AA31" s="266">
        <f>Y31+Z31</f>
        <v>2402</v>
      </c>
      <c r="AB31" s="232">
        <f>(AA31/O31)</f>
        <v>1.2969762419006479</v>
      </c>
      <c r="AC31" s="178"/>
      <c r="AD31" s="178"/>
    </row>
    <row r="32" spans="1:30" x14ac:dyDescent="0.25">
      <c r="A32" s="180"/>
      <c r="B32" s="274" t="s">
        <v>49</v>
      </c>
      <c r="C32" s="273" t="s">
        <v>48</v>
      </c>
      <c r="D32" s="277">
        <v>1343.2</v>
      </c>
      <c r="E32" s="267">
        <v>71357</v>
      </c>
      <c r="F32" s="267">
        <v>0</v>
      </c>
      <c r="G32" s="263">
        <f>SUM(D32:F32)</f>
        <v>72700.2</v>
      </c>
      <c r="H32" s="263">
        <v>0</v>
      </c>
      <c r="I32" s="266">
        <f>G32+H32</f>
        <v>72700.2</v>
      </c>
      <c r="J32" s="275">
        <v>700</v>
      </c>
      <c r="K32" s="267">
        <v>70500</v>
      </c>
      <c r="L32" s="267">
        <v>0</v>
      </c>
      <c r="M32" s="263">
        <f>SUM(J32:L32)</f>
        <v>71200</v>
      </c>
      <c r="N32" s="263">
        <v>0</v>
      </c>
      <c r="O32" s="266">
        <f>M32+N32</f>
        <v>71200</v>
      </c>
      <c r="P32" s="268">
        <v>0</v>
      </c>
      <c r="Q32" s="267">
        <v>39379</v>
      </c>
      <c r="R32" s="267">
        <v>0</v>
      </c>
      <c r="S32" s="263">
        <f>SUM(P32:R32)</f>
        <v>39379</v>
      </c>
      <c r="T32" s="263">
        <v>0</v>
      </c>
      <c r="U32" s="266">
        <f>S32+T32</f>
        <v>39379</v>
      </c>
      <c r="V32" s="275">
        <f>SUM(V33:V34)</f>
        <v>1115</v>
      </c>
      <c r="W32" s="267">
        <f>SUM(W33:W34)</f>
        <v>76872</v>
      </c>
      <c r="X32" s="267">
        <v>0</v>
      </c>
      <c r="Y32" s="263">
        <f>SUM(V32:X32)</f>
        <v>77987</v>
      </c>
      <c r="Z32" s="263">
        <v>0</v>
      </c>
      <c r="AA32" s="266">
        <f>Y32+Z32</f>
        <v>77987</v>
      </c>
      <c r="AB32" s="232">
        <f>(AA32/O32)</f>
        <v>1.0953230337078652</v>
      </c>
      <c r="AC32" s="178"/>
      <c r="AD32" s="178"/>
    </row>
    <row r="33" spans="1:30" x14ac:dyDescent="0.25">
      <c r="A33" s="180"/>
      <c r="B33" s="274" t="s">
        <v>47</v>
      </c>
      <c r="C33" s="280" t="s">
        <v>46</v>
      </c>
      <c r="D33" s="277">
        <v>1343.2</v>
      </c>
      <c r="E33" s="267">
        <v>70630.5</v>
      </c>
      <c r="F33" s="267">
        <v>0</v>
      </c>
      <c r="G33" s="263">
        <f>SUM(D33:F33)</f>
        <v>71973.7</v>
      </c>
      <c r="H33" s="263">
        <v>0</v>
      </c>
      <c r="I33" s="266">
        <f>G33+H33</f>
        <v>71973.7</v>
      </c>
      <c r="J33" s="275">
        <v>700</v>
      </c>
      <c r="K33" s="267">
        <v>69800</v>
      </c>
      <c r="L33" s="267">
        <v>0</v>
      </c>
      <c r="M33" s="263">
        <f>SUM(J33:L33)</f>
        <v>70500</v>
      </c>
      <c r="N33" s="263">
        <v>0</v>
      </c>
      <c r="O33" s="266">
        <f>M33+N33</f>
        <v>70500</v>
      </c>
      <c r="P33" s="268">
        <v>0</v>
      </c>
      <c r="Q33" s="267">
        <v>39319</v>
      </c>
      <c r="R33" s="267">
        <v>0</v>
      </c>
      <c r="S33" s="263">
        <f>SUM(P33:R33)</f>
        <v>39319</v>
      </c>
      <c r="T33" s="263">
        <v>0</v>
      </c>
      <c r="U33" s="266">
        <f>S33+T33</f>
        <v>39319</v>
      </c>
      <c r="V33" s="275">
        <v>1115</v>
      </c>
      <c r="W33" s="267">
        <v>76722</v>
      </c>
      <c r="X33" s="267">
        <v>0</v>
      </c>
      <c r="Y33" s="263">
        <f>SUM(V33:X33)</f>
        <v>77837</v>
      </c>
      <c r="Z33" s="263">
        <v>0</v>
      </c>
      <c r="AA33" s="266">
        <f>Y33+Z33</f>
        <v>77837</v>
      </c>
      <c r="AB33" s="232">
        <f>(AA33/O33)</f>
        <v>1.1040709219858156</v>
      </c>
      <c r="AC33" s="178"/>
      <c r="AD33" s="178"/>
    </row>
    <row r="34" spans="1:30" x14ac:dyDescent="0.25">
      <c r="A34" s="180"/>
      <c r="B34" s="274" t="s">
        <v>45</v>
      </c>
      <c r="C34" s="278" t="s">
        <v>44</v>
      </c>
      <c r="D34" s="277">
        <v>0</v>
      </c>
      <c r="E34" s="267">
        <v>726.6</v>
      </c>
      <c r="F34" s="267">
        <v>0</v>
      </c>
      <c r="G34" s="263">
        <f>SUM(D34:F34)</f>
        <v>726.6</v>
      </c>
      <c r="H34" s="263">
        <v>0</v>
      </c>
      <c r="I34" s="266">
        <f>G34+H34</f>
        <v>726.6</v>
      </c>
      <c r="J34" s="275">
        <v>0</v>
      </c>
      <c r="K34" s="267">
        <v>700</v>
      </c>
      <c r="L34" s="267">
        <v>0</v>
      </c>
      <c r="M34" s="263">
        <f>SUM(J34:L34)</f>
        <v>700</v>
      </c>
      <c r="N34" s="263">
        <v>0</v>
      </c>
      <c r="O34" s="266">
        <f>M34+N34</f>
        <v>700</v>
      </c>
      <c r="P34" s="268">
        <v>0</v>
      </c>
      <c r="Q34" s="267">
        <v>60</v>
      </c>
      <c r="R34" s="267">
        <v>0</v>
      </c>
      <c r="S34" s="263">
        <f>SUM(P34:R34)</f>
        <v>60</v>
      </c>
      <c r="T34" s="263">
        <v>0</v>
      </c>
      <c r="U34" s="266">
        <f>S34+T34</f>
        <v>60</v>
      </c>
      <c r="V34" s="275">
        <v>0</v>
      </c>
      <c r="W34" s="267">
        <v>150</v>
      </c>
      <c r="X34" s="267">
        <v>0</v>
      </c>
      <c r="Y34" s="263">
        <f>SUM(V34:X34)</f>
        <v>150</v>
      </c>
      <c r="Z34" s="263">
        <v>0</v>
      </c>
      <c r="AA34" s="266">
        <f>Y34+Z34</f>
        <v>150</v>
      </c>
      <c r="AB34" s="232">
        <f>(AA34/O34)</f>
        <v>0.21428571428571427</v>
      </c>
      <c r="AC34" s="178"/>
      <c r="AD34" s="178"/>
    </row>
    <row r="35" spans="1:30" x14ac:dyDescent="0.25">
      <c r="A35" s="180"/>
      <c r="B35" s="274" t="s">
        <v>43</v>
      </c>
      <c r="C35" s="273" t="s">
        <v>42</v>
      </c>
      <c r="D35" s="277">
        <v>462</v>
      </c>
      <c r="E35" s="267">
        <v>24059</v>
      </c>
      <c r="F35" s="267">
        <v>0</v>
      </c>
      <c r="G35" s="263">
        <f>SUM(D35:F35)</f>
        <v>24521</v>
      </c>
      <c r="H35" s="263">
        <v>0</v>
      </c>
      <c r="I35" s="266">
        <f>G35+H35</f>
        <v>24521</v>
      </c>
      <c r="J35" s="275">
        <v>240</v>
      </c>
      <c r="K35" s="267">
        <v>23800</v>
      </c>
      <c r="L35" s="267">
        <v>0</v>
      </c>
      <c r="M35" s="263">
        <f>SUM(J35:L35)</f>
        <v>24040</v>
      </c>
      <c r="N35" s="263">
        <v>0</v>
      </c>
      <c r="O35" s="266">
        <f>M35+N35</f>
        <v>24040</v>
      </c>
      <c r="P35" s="268">
        <v>0</v>
      </c>
      <c r="Q35" s="267">
        <v>13244</v>
      </c>
      <c r="R35" s="267">
        <v>0</v>
      </c>
      <c r="S35" s="263">
        <f>SUM(P35:R35)</f>
        <v>13244</v>
      </c>
      <c r="T35" s="263">
        <v>0</v>
      </c>
      <c r="U35" s="266">
        <f>S35+T35</f>
        <v>13244</v>
      </c>
      <c r="V35" s="275">
        <v>380</v>
      </c>
      <c r="W35" s="267">
        <v>25934</v>
      </c>
      <c r="X35" s="267">
        <v>0</v>
      </c>
      <c r="Y35" s="263">
        <f>SUM(V35:X35)</f>
        <v>26314</v>
      </c>
      <c r="Z35" s="263">
        <v>0</v>
      </c>
      <c r="AA35" s="266">
        <f>Y35+Z35</f>
        <v>26314</v>
      </c>
      <c r="AB35" s="232">
        <f>(AA35/O35)</f>
        <v>1.0945923460898503</v>
      </c>
      <c r="AC35" s="178"/>
      <c r="AD35" s="178"/>
    </row>
    <row r="36" spans="1:30" x14ac:dyDescent="0.25">
      <c r="A36" s="180"/>
      <c r="B36" s="274" t="s">
        <v>41</v>
      </c>
      <c r="C36" s="273" t="s">
        <v>40</v>
      </c>
      <c r="D36" s="267">
        <v>0</v>
      </c>
      <c r="E36" s="267">
        <v>0</v>
      </c>
      <c r="F36" s="267">
        <v>0</v>
      </c>
      <c r="G36" s="263">
        <f>SUM(D36:F36)</f>
        <v>0</v>
      </c>
      <c r="H36" s="263">
        <v>0</v>
      </c>
      <c r="I36" s="266">
        <f>G36+H36</f>
        <v>0</v>
      </c>
      <c r="J36" s="268">
        <v>0</v>
      </c>
      <c r="K36" s="267">
        <v>0</v>
      </c>
      <c r="L36" s="267">
        <v>0</v>
      </c>
      <c r="M36" s="263">
        <f>SUM(J36:L36)</f>
        <v>0</v>
      </c>
      <c r="N36" s="263">
        <v>0</v>
      </c>
      <c r="O36" s="266">
        <f>M36+N36</f>
        <v>0</v>
      </c>
      <c r="P36" s="268">
        <v>0</v>
      </c>
      <c r="Q36" s="267">
        <v>0</v>
      </c>
      <c r="R36" s="267">
        <v>0</v>
      </c>
      <c r="S36" s="263">
        <f>SUM(P36:R36)</f>
        <v>0</v>
      </c>
      <c r="T36" s="263">
        <v>0</v>
      </c>
      <c r="U36" s="266">
        <f>S36+T36</f>
        <v>0</v>
      </c>
      <c r="V36" s="268">
        <v>0</v>
      </c>
      <c r="W36" s="267">
        <v>0</v>
      </c>
      <c r="X36" s="267">
        <v>0</v>
      </c>
      <c r="Y36" s="263">
        <f>SUM(V36:X36)</f>
        <v>0</v>
      </c>
      <c r="Z36" s="263">
        <v>0</v>
      </c>
      <c r="AA36" s="266">
        <f>Y36+Z36</f>
        <v>0</v>
      </c>
      <c r="AB36" s="232" t="e">
        <f>(AA36/O36)</f>
        <v>#DIV/0!</v>
      </c>
      <c r="AC36" s="178"/>
      <c r="AD36" s="178"/>
    </row>
    <row r="37" spans="1:30" x14ac:dyDescent="0.25">
      <c r="A37" s="180"/>
      <c r="B37" s="274" t="s">
        <v>39</v>
      </c>
      <c r="C37" s="273" t="s">
        <v>38</v>
      </c>
      <c r="D37" s="267">
        <v>1379.5</v>
      </c>
      <c r="E37" s="267">
        <v>0</v>
      </c>
      <c r="F37" s="267">
        <v>117</v>
      </c>
      <c r="G37" s="263">
        <f>SUM(D37:F37)</f>
        <v>1496.5</v>
      </c>
      <c r="H37" s="263">
        <v>0</v>
      </c>
      <c r="I37" s="266">
        <f>G37+H37</f>
        <v>1496.5</v>
      </c>
      <c r="J37" s="268">
        <v>1382</v>
      </c>
      <c r="K37" s="267">
        <v>0</v>
      </c>
      <c r="L37" s="267">
        <v>117</v>
      </c>
      <c r="M37" s="263">
        <f>SUM(J37:L37)</f>
        <v>1499</v>
      </c>
      <c r="N37" s="263">
        <v>0</v>
      </c>
      <c r="O37" s="266">
        <f>M37+N37</f>
        <v>1499</v>
      </c>
      <c r="P37" s="268">
        <v>703</v>
      </c>
      <c r="Q37" s="267">
        <v>0</v>
      </c>
      <c r="R37" s="267">
        <v>73</v>
      </c>
      <c r="S37" s="263">
        <f>SUM(P37:R37)</f>
        <v>776</v>
      </c>
      <c r="T37" s="263">
        <v>0</v>
      </c>
      <c r="U37" s="266">
        <f>S37+T37</f>
        <v>776</v>
      </c>
      <c r="V37" s="268">
        <v>1455</v>
      </c>
      <c r="W37" s="267">
        <v>0</v>
      </c>
      <c r="X37" s="267">
        <v>287</v>
      </c>
      <c r="Y37" s="263">
        <f>SUM(V37:X37)</f>
        <v>1742</v>
      </c>
      <c r="Z37" s="263">
        <v>0</v>
      </c>
      <c r="AA37" s="266">
        <f>Y37+Z37</f>
        <v>1742</v>
      </c>
      <c r="AB37" s="232">
        <f>(AA37/O37)</f>
        <v>1.1621080720480321</v>
      </c>
      <c r="AC37" s="178"/>
      <c r="AD37" s="178"/>
    </row>
    <row r="38" spans="1:30" ht="15.75" thickBot="1" x14ac:dyDescent="0.3">
      <c r="A38" s="180"/>
      <c r="B38" s="265" t="s">
        <v>37</v>
      </c>
      <c r="C38" s="264" t="s">
        <v>36</v>
      </c>
      <c r="D38" s="257">
        <v>888</v>
      </c>
      <c r="E38" s="257">
        <v>1725.6</v>
      </c>
      <c r="F38" s="257">
        <v>723.8</v>
      </c>
      <c r="G38" s="263">
        <f>SUM(D38:F38)</f>
        <v>3337.3999999999996</v>
      </c>
      <c r="H38" s="256">
        <v>0</v>
      </c>
      <c r="I38" s="255">
        <f>G38+H38</f>
        <v>3337.3999999999996</v>
      </c>
      <c r="J38" s="258">
        <v>698</v>
      </c>
      <c r="K38" s="257">
        <v>1500</v>
      </c>
      <c r="L38" s="257">
        <v>880</v>
      </c>
      <c r="M38" s="256">
        <f>SUM(J38:L38)</f>
        <v>3078</v>
      </c>
      <c r="N38" s="256">
        <v>0</v>
      </c>
      <c r="O38" s="255">
        <f>M38+N38</f>
        <v>3078</v>
      </c>
      <c r="P38" s="258">
        <v>408</v>
      </c>
      <c r="Q38" s="257">
        <v>1318</v>
      </c>
      <c r="R38" s="257">
        <v>165</v>
      </c>
      <c r="S38" s="256">
        <f>SUM(P38:R38)</f>
        <v>1891</v>
      </c>
      <c r="T38" s="256">
        <v>0</v>
      </c>
      <c r="U38" s="255">
        <f>S38+T38</f>
        <v>1891</v>
      </c>
      <c r="V38" s="258">
        <v>707.7</v>
      </c>
      <c r="W38" s="257">
        <v>1814</v>
      </c>
      <c r="X38" s="257">
        <v>500</v>
      </c>
      <c r="Y38" s="256">
        <f>SUM(V38:X38)</f>
        <v>3021.7</v>
      </c>
      <c r="Z38" s="256">
        <v>0</v>
      </c>
      <c r="AA38" s="255">
        <f>Y38+Z38</f>
        <v>3021.7</v>
      </c>
      <c r="AB38" s="254">
        <f>(AA38/O38)</f>
        <v>0.98170890188434046</v>
      </c>
      <c r="AC38" s="178"/>
      <c r="AD38" s="178"/>
    </row>
    <row r="39" spans="1:30" ht="15.75" thickBot="1" x14ac:dyDescent="0.3">
      <c r="A39" s="180"/>
      <c r="B39" s="253" t="s">
        <v>35</v>
      </c>
      <c r="C39" s="252" t="s">
        <v>34</v>
      </c>
      <c r="D39" s="251">
        <f>SUM(D35:D38)+SUM(D28:D32)</f>
        <v>13682.900000000001</v>
      </c>
      <c r="E39" s="251">
        <f>SUM(E35:E38)+SUM(E28:E32)</f>
        <v>97230.9</v>
      </c>
      <c r="F39" s="251">
        <f>SUM(F35:F38)+SUM(F28:F32)</f>
        <v>6707</v>
      </c>
      <c r="G39" s="250">
        <f>SUM(D39:F39)</f>
        <v>117620.79999999999</v>
      </c>
      <c r="H39" s="249">
        <f>SUM(H28:H32)+SUM(H35:H38)</f>
        <v>18.600000000000001</v>
      </c>
      <c r="I39" s="248">
        <f>SUM(I35:I38)+SUM(I28:I32)</f>
        <v>117639.4</v>
      </c>
      <c r="J39" s="251">
        <f>SUM(J35:J38)+SUM(J28:J32)</f>
        <v>12400</v>
      </c>
      <c r="K39" s="251">
        <f>SUM(K35:K38)+SUM(K28:K32)</f>
        <v>95900</v>
      </c>
      <c r="L39" s="251">
        <f>SUM(L35:L38)+SUM(L28:L32)</f>
        <v>9597</v>
      </c>
      <c r="M39" s="250">
        <f>SUM(J39:L39)</f>
        <v>117897</v>
      </c>
      <c r="N39" s="249">
        <f>SUM(N28:N32)+SUM(N35:N38)</f>
        <v>38</v>
      </c>
      <c r="O39" s="248">
        <f>SUM(O35:O38)+SUM(O28:O32)</f>
        <v>117935</v>
      </c>
      <c r="P39" s="251">
        <f>SUM(P35:P38)+SUM(P28:P32)</f>
        <v>5894</v>
      </c>
      <c r="Q39" s="251">
        <f>SUM(Q35:Q38)+SUM(Q28:Q32)</f>
        <v>53950</v>
      </c>
      <c r="R39" s="251">
        <f>SUM(R35:R38)+SUM(R28:R32)</f>
        <v>3043</v>
      </c>
      <c r="S39" s="250">
        <f>SUM(P39:R39)</f>
        <v>62887</v>
      </c>
      <c r="T39" s="249">
        <f>SUM(T28:T32)+SUM(T35:T38)</f>
        <v>2</v>
      </c>
      <c r="U39" s="248">
        <f>SUM(U35:U38)+SUM(U28:U32)</f>
        <v>62889</v>
      </c>
      <c r="V39" s="251">
        <f>SUM(V35:V38)+SUM(V28:V32)</f>
        <v>13649.7</v>
      </c>
      <c r="W39" s="251">
        <f>SUM(W35:W38)+SUM(W28:W32)</f>
        <v>104740</v>
      </c>
      <c r="X39" s="251">
        <f>SUM(X35:X38)+SUM(X28:X32)</f>
        <v>10087</v>
      </c>
      <c r="Y39" s="250">
        <f>SUM(V39:X39)</f>
        <v>128476.7</v>
      </c>
      <c r="Z39" s="249">
        <f>SUM(Z28:Z32)+SUM(Z35:Z38)</f>
        <v>2</v>
      </c>
      <c r="AA39" s="248">
        <f>SUM(AA35:AA38)+SUM(AA28:AA32)</f>
        <v>128478.7</v>
      </c>
      <c r="AB39" s="247">
        <f>(AA39/O39)</f>
        <v>1.0894026370458303</v>
      </c>
      <c r="AC39" s="178"/>
      <c r="AD39" s="178"/>
    </row>
    <row r="40" spans="1:30" ht="19.5" thickBot="1" x14ac:dyDescent="0.35">
      <c r="A40" s="180"/>
      <c r="B40" s="246" t="s">
        <v>33</v>
      </c>
      <c r="C40" s="245" t="s">
        <v>32</v>
      </c>
      <c r="D40" s="244">
        <f>D24-D39</f>
        <v>284.99999999999818</v>
      </c>
      <c r="E40" s="244">
        <f>E24-E39</f>
        <v>0</v>
      </c>
      <c r="F40" s="244">
        <f>F24-F39</f>
        <v>0</v>
      </c>
      <c r="G40" s="243">
        <f>G24-G39</f>
        <v>285</v>
      </c>
      <c r="H40" s="243">
        <f>H24-H39</f>
        <v>84.9</v>
      </c>
      <c r="I40" s="242">
        <f>I24-I39</f>
        <v>369.89999999999418</v>
      </c>
      <c r="J40" s="244">
        <f>J24-J39</f>
        <v>0</v>
      </c>
      <c r="K40" s="244">
        <f>K24-K39</f>
        <v>0</v>
      </c>
      <c r="L40" s="244">
        <f>L24-L39</f>
        <v>0</v>
      </c>
      <c r="M40" s="243">
        <f>M24-M39</f>
        <v>0</v>
      </c>
      <c r="N40" s="243">
        <f>N24-N39</f>
        <v>102</v>
      </c>
      <c r="O40" s="242">
        <f>O24-O39</f>
        <v>102</v>
      </c>
      <c r="P40" s="244">
        <f>P24-P39</f>
        <v>508.5</v>
      </c>
      <c r="Q40" s="244">
        <f>Q24-Q39</f>
        <v>-365.5</v>
      </c>
      <c r="R40" s="244">
        <f>R24-R39</f>
        <v>450</v>
      </c>
      <c r="S40" s="243">
        <f>S24-S39</f>
        <v>593</v>
      </c>
      <c r="T40" s="243">
        <f>T24-T39</f>
        <v>58</v>
      </c>
      <c r="U40" s="242">
        <f>U24-U39</f>
        <v>651</v>
      </c>
      <c r="V40" s="244">
        <f>V24-V39</f>
        <v>0</v>
      </c>
      <c r="W40" s="244">
        <f>W24-W39</f>
        <v>0</v>
      </c>
      <c r="X40" s="244">
        <f>X24-X39</f>
        <v>0</v>
      </c>
      <c r="Y40" s="243">
        <f>Y24-Y39</f>
        <v>0</v>
      </c>
      <c r="Z40" s="243">
        <f>Z24-Z39</f>
        <v>112</v>
      </c>
      <c r="AA40" s="242">
        <f>AA24-AA39</f>
        <v>112</v>
      </c>
      <c r="AB40" s="241">
        <f>(AA40/O40)</f>
        <v>1.0980392156862746</v>
      </c>
      <c r="AC40" s="178"/>
      <c r="AD40" s="178"/>
    </row>
    <row r="41" spans="1:30" ht="15.75" thickBot="1" x14ac:dyDescent="0.3">
      <c r="A41" s="180"/>
      <c r="B41" s="240" t="s">
        <v>31</v>
      </c>
      <c r="C41" s="239" t="s">
        <v>30</v>
      </c>
      <c r="D41" s="237"/>
      <c r="E41" s="236"/>
      <c r="F41" s="236"/>
      <c r="G41" s="235"/>
      <c r="H41" s="238"/>
      <c r="I41" s="233">
        <f>I40-D16</f>
        <v>-13384.900000000005</v>
      </c>
      <c r="J41" s="237"/>
      <c r="K41" s="236"/>
      <c r="L41" s="236"/>
      <c r="M41" s="235"/>
      <c r="N41" s="234"/>
      <c r="O41" s="233">
        <f>O40-J16</f>
        <v>-12298</v>
      </c>
      <c r="P41" s="237"/>
      <c r="Q41" s="236"/>
      <c r="R41" s="236"/>
      <c r="S41" s="235"/>
      <c r="T41" s="234"/>
      <c r="U41" s="233">
        <f>U40-P16</f>
        <v>-5488.1</v>
      </c>
      <c r="V41" s="237"/>
      <c r="W41" s="236"/>
      <c r="X41" s="236"/>
      <c r="Y41" s="235"/>
      <c r="Z41" s="234"/>
      <c r="AA41" s="233">
        <f>AA40-V16</f>
        <v>-13208</v>
      </c>
      <c r="AB41" s="232">
        <f>(AA41/O41)</f>
        <v>1.0739957716701902</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1057</v>
      </c>
      <c r="E44" s="225">
        <v>1057</v>
      </c>
      <c r="F44" s="224">
        <v>0</v>
      </c>
      <c r="G44" s="202"/>
      <c r="H44" s="202"/>
      <c r="I44" s="201"/>
      <c r="J44" s="214">
        <v>1051</v>
      </c>
      <c r="K44" s="225">
        <v>1051</v>
      </c>
      <c r="L44" s="224">
        <v>0</v>
      </c>
      <c r="M44" s="223"/>
      <c r="N44" s="223"/>
      <c r="O44" s="223"/>
      <c r="P44" s="214">
        <v>1097</v>
      </c>
      <c r="Q44" s="225">
        <v>1097</v>
      </c>
      <c r="R44" s="224">
        <v>0</v>
      </c>
      <c r="S44" s="178"/>
      <c r="T44" s="178"/>
      <c r="U44" s="178"/>
      <c r="V44" s="214">
        <v>1120</v>
      </c>
      <c r="W44" s="225">
        <v>1120</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200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f>SUM(D51:D54)</f>
        <v>3127.3</v>
      </c>
      <c r="E50" s="210">
        <f>SUM(E51:E54)</f>
        <v>4566.6000000000004</v>
      </c>
      <c r="F50" s="210">
        <f>SUM(F51:F54)</f>
        <v>4675.6000000000004</v>
      </c>
      <c r="G50" s="209">
        <f>D50+E50-F50</f>
        <v>3018.3</v>
      </c>
      <c r="H50" s="202"/>
      <c r="I50" s="178"/>
      <c r="J50" s="210">
        <f>SUM(J51:J54)</f>
        <v>1176</v>
      </c>
      <c r="K50" s="210">
        <f>SUM(K51:K54)</f>
        <v>3160</v>
      </c>
      <c r="L50" s="210">
        <f>SUM(L51:L54)</f>
        <v>3380</v>
      </c>
      <c r="M50" s="209">
        <f>J50+K50-L50</f>
        <v>956</v>
      </c>
      <c r="N50" s="178"/>
      <c r="O50" s="178"/>
      <c r="P50" s="210">
        <f>SUM(P51:P54)</f>
        <v>3017</v>
      </c>
      <c r="Q50" s="210">
        <f>SUM(Q51:Q54)</f>
        <v>5530</v>
      </c>
      <c r="R50" s="210">
        <f>SUM(R51:R54)</f>
        <v>4214</v>
      </c>
      <c r="S50" s="209">
        <f>P50+Q50-R50</f>
        <v>4333</v>
      </c>
      <c r="T50" s="178"/>
      <c r="U50" s="178"/>
      <c r="V50" s="210">
        <f>SUM(V51:V54)</f>
        <v>4333</v>
      </c>
      <c r="W50" s="210"/>
      <c r="X50" s="210"/>
      <c r="Y50" s="209">
        <f>V50+W50-X50</f>
        <v>4333</v>
      </c>
      <c r="Z50" s="178"/>
      <c r="AA50" s="178"/>
      <c r="AB50" s="178"/>
      <c r="AC50" s="178"/>
      <c r="AD50" s="178"/>
    </row>
    <row r="51" spans="1:30" x14ac:dyDescent="0.25">
      <c r="A51" s="180"/>
      <c r="B51" s="204"/>
      <c r="C51" s="206" t="s">
        <v>15</v>
      </c>
      <c r="D51" s="210">
        <v>2429.5</v>
      </c>
      <c r="E51" s="210">
        <v>1672</v>
      </c>
      <c r="F51" s="210">
        <v>2339.3000000000002</v>
      </c>
      <c r="G51" s="209">
        <f>D51+E51-F51</f>
        <v>1762.1999999999998</v>
      </c>
      <c r="H51" s="202"/>
      <c r="I51" s="178"/>
      <c r="J51" s="210">
        <v>215</v>
      </c>
      <c r="K51" s="210">
        <v>180</v>
      </c>
      <c r="L51" s="210">
        <v>180</v>
      </c>
      <c r="M51" s="209">
        <f>J51+K51-L51</f>
        <v>215</v>
      </c>
      <c r="N51" s="178"/>
      <c r="O51" s="178"/>
      <c r="P51" s="210">
        <v>1762</v>
      </c>
      <c r="Q51" s="210">
        <v>2189</v>
      </c>
      <c r="R51" s="210">
        <v>1637</v>
      </c>
      <c r="S51" s="209">
        <f>P51+Q51-R51</f>
        <v>2314</v>
      </c>
      <c r="T51" s="178"/>
      <c r="U51" s="178"/>
      <c r="V51" s="210">
        <v>2314</v>
      </c>
      <c r="W51" s="210">
        <v>600</v>
      </c>
      <c r="X51" s="210">
        <v>1850</v>
      </c>
      <c r="Y51" s="209">
        <f>V51+W51-X51</f>
        <v>1064</v>
      </c>
      <c r="Z51" s="178"/>
      <c r="AA51" s="178"/>
      <c r="AB51" s="178"/>
      <c r="AC51" s="178"/>
      <c r="AD51" s="178"/>
    </row>
    <row r="52" spans="1:30" x14ac:dyDescent="0.25">
      <c r="A52" s="180"/>
      <c r="B52" s="204"/>
      <c r="C52" s="206" t="s">
        <v>14</v>
      </c>
      <c r="D52" s="210">
        <v>244.5</v>
      </c>
      <c r="E52" s="210">
        <v>1455.6</v>
      </c>
      <c r="F52" s="210">
        <v>1344</v>
      </c>
      <c r="G52" s="209">
        <f>D52+E52-F52</f>
        <v>356.09999999999991</v>
      </c>
      <c r="H52" s="202"/>
      <c r="I52" s="178"/>
      <c r="J52" s="210">
        <v>468</v>
      </c>
      <c r="K52" s="210">
        <v>1580</v>
      </c>
      <c r="L52" s="210">
        <v>1700</v>
      </c>
      <c r="M52" s="209">
        <f>J52+K52-L52</f>
        <v>348</v>
      </c>
      <c r="N52" s="178"/>
      <c r="O52" s="178"/>
      <c r="P52" s="210">
        <v>356</v>
      </c>
      <c r="Q52" s="210">
        <v>1647</v>
      </c>
      <c r="R52" s="210">
        <v>1197</v>
      </c>
      <c r="S52" s="209">
        <f>P52+Q52-R52</f>
        <v>806</v>
      </c>
      <c r="T52" s="178"/>
      <c r="U52" s="178"/>
      <c r="V52" s="210">
        <v>806</v>
      </c>
      <c r="W52" s="210">
        <v>1742</v>
      </c>
      <c r="X52" s="210">
        <v>1500</v>
      </c>
      <c r="Y52" s="209">
        <f>V52+W52-X52</f>
        <v>1048</v>
      </c>
      <c r="Z52" s="178"/>
      <c r="AA52" s="178"/>
      <c r="AB52" s="178"/>
      <c r="AC52" s="178"/>
      <c r="AD52" s="178"/>
    </row>
    <row r="53" spans="1:30" x14ac:dyDescent="0.25">
      <c r="A53" s="180"/>
      <c r="B53" s="204"/>
      <c r="C53" s="206" t="s">
        <v>13</v>
      </c>
      <c r="D53" s="210">
        <v>212.3</v>
      </c>
      <c r="E53" s="210">
        <v>0</v>
      </c>
      <c r="F53" s="210">
        <v>36.299999999999997</v>
      </c>
      <c r="G53" s="209">
        <f>D53+E53-F53</f>
        <v>176</v>
      </c>
      <c r="H53" s="202"/>
      <c r="I53" s="178"/>
      <c r="J53" s="210">
        <v>212</v>
      </c>
      <c r="K53" s="210">
        <v>0</v>
      </c>
      <c r="L53" s="210">
        <v>0</v>
      </c>
      <c r="M53" s="209">
        <f>J53+K53-L53</f>
        <v>212</v>
      </c>
      <c r="N53" s="178"/>
      <c r="O53" s="178"/>
      <c r="P53" s="210">
        <v>176</v>
      </c>
      <c r="Q53" s="210">
        <v>74</v>
      </c>
      <c r="R53" s="210">
        <v>0</v>
      </c>
      <c r="S53" s="209">
        <f>P53+Q53-R53</f>
        <v>250</v>
      </c>
      <c r="T53" s="178"/>
      <c r="U53" s="178"/>
      <c r="V53" s="210">
        <v>250</v>
      </c>
      <c r="W53" s="210">
        <v>0</v>
      </c>
      <c r="X53" s="210">
        <v>0</v>
      </c>
      <c r="Y53" s="209">
        <f>V53+W53-X53</f>
        <v>250</v>
      </c>
      <c r="Z53" s="178"/>
      <c r="AA53" s="178"/>
      <c r="AB53" s="178"/>
      <c r="AC53" s="178"/>
      <c r="AD53" s="178"/>
    </row>
    <row r="54" spans="1:30" x14ac:dyDescent="0.25">
      <c r="A54" s="180"/>
      <c r="B54" s="204"/>
      <c r="C54" s="212" t="s">
        <v>12</v>
      </c>
      <c r="D54" s="210">
        <v>241</v>
      </c>
      <c r="E54" s="210">
        <v>1439</v>
      </c>
      <c r="F54" s="210">
        <v>956</v>
      </c>
      <c r="G54" s="209">
        <f>D54+E54-F54</f>
        <v>724</v>
      </c>
      <c r="H54" s="202"/>
      <c r="I54" s="178"/>
      <c r="J54" s="210">
        <v>281</v>
      </c>
      <c r="K54" s="210">
        <v>1400</v>
      </c>
      <c r="L54" s="210">
        <v>1500</v>
      </c>
      <c r="M54" s="209">
        <f>J54+K54-L54</f>
        <v>181</v>
      </c>
      <c r="N54" s="178"/>
      <c r="O54" s="178"/>
      <c r="P54" s="210">
        <v>723</v>
      </c>
      <c r="Q54" s="210">
        <v>1620</v>
      </c>
      <c r="R54" s="210">
        <v>1380</v>
      </c>
      <c r="S54" s="209">
        <f>P54+Q54-R54</f>
        <v>963</v>
      </c>
      <c r="T54" s="178"/>
      <c r="U54" s="178"/>
      <c r="V54" s="210">
        <v>963</v>
      </c>
      <c r="W54" s="210">
        <v>1750</v>
      </c>
      <c r="X54" s="210">
        <v>2600</v>
      </c>
      <c r="Y54" s="209">
        <f>V54+W54-X54</f>
        <v>113</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199</v>
      </c>
      <c r="E57" s="205">
        <v>202</v>
      </c>
      <c r="F57" s="202"/>
      <c r="G57" s="202"/>
      <c r="H57" s="202"/>
      <c r="I57" s="201"/>
      <c r="J57" s="205">
        <v>199</v>
      </c>
      <c r="K57" s="202"/>
      <c r="L57" s="202"/>
      <c r="M57" s="202"/>
      <c r="N57" s="202"/>
      <c r="O57" s="201"/>
      <c r="P57" s="205">
        <v>202</v>
      </c>
      <c r="Q57" s="201"/>
      <c r="R57" s="201"/>
      <c r="S57" s="201"/>
      <c r="T57" s="201"/>
      <c r="U57" s="201"/>
      <c r="V57" s="205">
        <v>217</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t="s">
        <v>127</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44502</v>
      </c>
      <c r="D91" s="179" t="s">
        <v>4</v>
      </c>
      <c r="E91" s="184" t="s">
        <v>126</v>
      </c>
      <c r="F91" s="184"/>
      <c r="G91" s="184"/>
      <c r="H91" s="179"/>
      <c r="I91" s="179" t="s">
        <v>2</v>
      </c>
      <c r="J91" s="183" t="s">
        <v>125</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5">
    <mergeCell ref="V10:AA10"/>
    <mergeCell ref="V25:AA25"/>
    <mergeCell ref="Y13:Y14"/>
    <mergeCell ref="Z13:Z14"/>
    <mergeCell ref="AB25:AB27"/>
    <mergeCell ref="V26:X26"/>
    <mergeCell ref="AA26:AA27"/>
    <mergeCell ref="AB10:AB14"/>
    <mergeCell ref="V11:Y11"/>
    <mergeCell ref="V12:AA12"/>
    <mergeCell ref="V13:X13"/>
    <mergeCell ref="AA13:AA14"/>
    <mergeCell ref="Y26:Y27"/>
    <mergeCell ref="Z26:Z27"/>
    <mergeCell ref="S13:S14"/>
    <mergeCell ref="T13:T14"/>
    <mergeCell ref="U13:U14"/>
    <mergeCell ref="P25:U25"/>
    <mergeCell ref="P26:R26"/>
    <mergeCell ref="S26:S27"/>
    <mergeCell ref="T26:T27"/>
    <mergeCell ref="U26:U27"/>
    <mergeCell ref="D12:I12"/>
    <mergeCell ref="D10:I10"/>
    <mergeCell ref="D11:G11"/>
    <mergeCell ref="C10:C13"/>
    <mergeCell ref="D13:F13"/>
    <mergeCell ref="H26:H27"/>
    <mergeCell ref="I26:I27"/>
    <mergeCell ref="H13:H14"/>
    <mergeCell ref="E91:G91"/>
    <mergeCell ref="J91:M91"/>
    <mergeCell ref="B63:U63"/>
    <mergeCell ref="B82:U82"/>
    <mergeCell ref="D4:U4"/>
    <mergeCell ref="D8:U8"/>
    <mergeCell ref="C43:C44"/>
    <mergeCell ref="C46:C47"/>
    <mergeCell ref="C26:C27"/>
    <mergeCell ref="B62:U62"/>
    <mergeCell ref="D59:U59"/>
    <mergeCell ref="B61:U61"/>
    <mergeCell ref="B26:B27"/>
    <mergeCell ref="O13:O14"/>
    <mergeCell ref="J25:O25"/>
    <mergeCell ref="J26:L26"/>
    <mergeCell ref="M26:M27"/>
    <mergeCell ref="N26:N27"/>
    <mergeCell ref="O26:O27"/>
    <mergeCell ref="I13:I14"/>
    <mergeCell ref="D25:I25"/>
    <mergeCell ref="D26:F26"/>
    <mergeCell ref="G26:G27"/>
    <mergeCell ref="B10:B13"/>
    <mergeCell ref="P10:U10"/>
    <mergeCell ref="P11:S11"/>
    <mergeCell ref="P12:U12"/>
    <mergeCell ref="P13:R13"/>
    <mergeCell ref="G13:G14"/>
    <mergeCell ref="J10:O10"/>
    <mergeCell ref="J11:M11"/>
    <mergeCell ref="J12:O12"/>
    <mergeCell ref="J13:L13"/>
    <mergeCell ref="M13:M14"/>
    <mergeCell ref="N13:N14"/>
  </mergeCells>
  <conditionalFormatting sqref="AB15:AB25">
    <cfRule type="cellIs" dxfId="15" priority="3" operator="equal">
      <formula>0</formula>
    </cfRule>
    <cfRule type="containsErrors" dxfId="14" priority="4">
      <formula>ISERROR(AB15)</formula>
    </cfRule>
  </conditionalFormatting>
  <conditionalFormatting sqref="AB28:AB41">
    <cfRule type="cellIs" dxfId="13" priority="1" operator="equal">
      <formula>0</formula>
    </cfRule>
    <cfRule type="containsErrors" dxfId="12" priority="2">
      <formula>ISERROR(AB28)</formula>
    </cfRule>
  </conditionalFormatting>
  <pageMargins left="0.70866141732283472" right="0.70866141732283472" top="0.78740157480314965" bottom="0.78740157480314965" header="0.31496062992125984" footer="0.31496062992125984"/>
  <pageSetup paperSize="9" scale="2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D276"/>
  <sheetViews>
    <sheetView showGridLines="0" zoomScale="80" zoomScaleNormal="80" zoomScaleSheetLayoutView="80" workbookViewId="0">
      <selection activeCell="D42" sqref="D42"/>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257</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72744341</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54" t="s">
        <v>256</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607.4</v>
      </c>
      <c r="G15" s="366">
        <f>SUM(D15:F15)</f>
        <v>607.4</v>
      </c>
      <c r="H15" s="352">
        <v>0</v>
      </c>
      <c r="I15" s="266">
        <f>G15+H15</f>
        <v>607.4</v>
      </c>
      <c r="J15" s="369"/>
      <c r="K15" s="368"/>
      <c r="L15" s="367">
        <v>843</v>
      </c>
      <c r="M15" s="366">
        <f>SUM(J15:L15)</f>
        <v>843</v>
      </c>
      <c r="N15" s="352">
        <v>0</v>
      </c>
      <c r="O15" s="266">
        <f>M15+N15</f>
        <v>843</v>
      </c>
      <c r="P15" s="369"/>
      <c r="Q15" s="368"/>
      <c r="R15" s="367">
        <v>395.2</v>
      </c>
      <c r="S15" s="366">
        <f>SUM(P15:R15)</f>
        <v>395.2</v>
      </c>
      <c r="T15" s="352">
        <v>0</v>
      </c>
      <c r="U15" s="266">
        <f>S15+T15</f>
        <v>395.2</v>
      </c>
      <c r="V15" s="369"/>
      <c r="W15" s="368"/>
      <c r="X15" s="367">
        <v>892</v>
      </c>
      <c r="Y15" s="366">
        <f>SUM(V15:X15)</f>
        <v>892</v>
      </c>
      <c r="Z15" s="352">
        <v>0</v>
      </c>
      <c r="AA15" s="266">
        <f>Y15+Z15</f>
        <v>892</v>
      </c>
      <c r="AB15" s="232">
        <f>(AA15/O15)</f>
        <v>1.0581257413997627</v>
      </c>
      <c r="AC15" s="178"/>
      <c r="AD15" s="178"/>
    </row>
    <row r="16" spans="1:30" x14ac:dyDescent="0.25">
      <c r="A16" s="180"/>
      <c r="B16" s="274" t="s">
        <v>86</v>
      </c>
      <c r="C16" s="361" t="s">
        <v>85</v>
      </c>
      <c r="D16" s="360">
        <v>2499.6</v>
      </c>
      <c r="E16" s="343"/>
      <c r="F16" s="343"/>
      <c r="G16" s="341">
        <f>SUM(D16:F16)</f>
        <v>2499.6</v>
      </c>
      <c r="H16" s="358"/>
      <c r="I16" s="266">
        <f>G16+H16</f>
        <v>2499.6</v>
      </c>
      <c r="J16" s="360">
        <v>2225</v>
      </c>
      <c r="K16" s="343"/>
      <c r="L16" s="343"/>
      <c r="M16" s="341">
        <f>SUM(J16:L16)</f>
        <v>2225</v>
      </c>
      <c r="N16" s="358"/>
      <c r="O16" s="266">
        <f>M16+N16</f>
        <v>2225</v>
      </c>
      <c r="P16" s="360">
        <v>1090.3</v>
      </c>
      <c r="Q16" s="343"/>
      <c r="R16" s="343"/>
      <c r="S16" s="341">
        <f>SUM(P16:R16)</f>
        <v>1090.3</v>
      </c>
      <c r="T16" s="358"/>
      <c r="U16" s="266">
        <f>S16+T16</f>
        <v>1090.3</v>
      </c>
      <c r="V16" s="360">
        <v>2375</v>
      </c>
      <c r="W16" s="343"/>
      <c r="X16" s="343"/>
      <c r="Y16" s="341">
        <f>SUM(V16:X16)</f>
        <v>2375</v>
      </c>
      <c r="Z16" s="358"/>
      <c r="AA16" s="266">
        <f>Y16+Z16</f>
        <v>2375</v>
      </c>
      <c r="AB16" s="232">
        <f>(AA16/O16)</f>
        <v>1.0674157303370786</v>
      </c>
      <c r="AC16" s="178"/>
      <c r="AD16" s="178"/>
    </row>
    <row r="17" spans="1:30" x14ac:dyDescent="0.25">
      <c r="A17" s="180"/>
      <c r="B17" s="274" t="s">
        <v>84</v>
      </c>
      <c r="C17" s="357" t="s">
        <v>83</v>
      </c>
      <c r="D17" s="356">
        <v>36.9</v>
      </c>
      <c r="E17" s="350"/>
      <c r="F17" s="350"/>
      <c r="G17" s="341">
        <f>SUM(D17:F17)</f>
        <v>36.9</v>
      </c>
      <c r="H17" s="355"/>
      <c r="I17" s="266">
        <f>G17+H17</f>
        <v>36.9</v>
      </c>
      <c r="J17" s="356">
        <v>125.9</v>
      </c>
      <c r="K17" s="350"/>
      <c r="L17" s="350"/>
      <c r="M17" s="341">
        <f>SUM(J17:L17)</f>
        <v>125.9</v>
      </c>
      <c r="N17" s="355"/>
      <c r="O17" s="266">
        <f>M17+N17</f>
        <v>125.9</v>
      </c>
      <c r="P17" s="356">
        <v>62.9</v>
      </c>
      <c r="Q17" s="350"/>
      <c r="R17" s="350"/>
      <c r="S17" s="341">
        <f>SUM(P17:R17)</f>
        <v>62.9</v>
      </c>
      <c r="T17" s="355"/>
      <c r="U17" s="266">
        <f>S17+T17</f>
        <v>62.9</v>
      </c>
      <c r="V17" s="356">
        <v>107.2</v>
      </c>
      <c r="W17" s="350"/>
      <c r="X17" s="350"/>
      <c r="Y17" s="341">
        <f>SUM(V17:X17)</f>
        <v>107.2</v>
      </c>
      <c r="Z17" s="355"/>
      <c r="AA17" s="266">
        <f>Y17+Z17</f>
        <v>107.2</v>
      </c>
      <c r="AB17" s="232">
        <f>(AA17/O17)</f>
        <v>0.85146942017474181</v>
      </c>
      <c r="AC17" s="178"/>
      <c r="AD17" s="178"/>
    </row>
    <row r="18" spans="1:30" x14ac:dyDescent="0.25">
      <c r="A18" s="180"/>
      <c r="B18" s="274" t="s">
        <v>82</v>
      </c>
      <c r="C18" s="354" t="s">
        <v>81</v>
      </c>
      <c r="D18" s="344"/>
      <c r="E18" s="353">
        <v>19218.599999999999</v>
      </c>
      <c r="F18" s="350"/>
      <c r="G18" s="341">
        <f>SUM(D18:F18)</f>
        <v>19218.599999999999</v>
      </c>
      <c r="H18" s="352"/>
      <c r="I18" s="266">
        <f>G18+H18</f>
        <v>19218.599999999999</v>
      </c>
      <c r="J18" s="344"/>
      <c r="K18" s="353">
        <v>18133.900000000001</v>
      </c>
      <c r="L18" s="350"/>
      <c r="M18" s="341">
        <f>SUM(J18:L18)</f>
        <v>18133.900000000001</v>
      </c>
      <c r="N18" s="352"/>
      <c r="O18" s="266">
        <f>M18+N18</f>
        <v>18133.900000000001</v>
      </c>
      <c r="P18" s="344"/>
      <c r="Q18" s="353">
        <v>10181.799999999999</v>
      </c>
      <c r="R18" s="350"/>
      <c r="S18" s="341">
        <f>SUM(P18:R18)</f>
        <v>10181.799999999999</v>
      </c>
      <c r="T18" s="352"/>
      <c r="U18" s="266">
        <f>S18+T18</f>
        <v>10181.799999999999</v>
      </c>
      <c r="V18" s="344"/>
      <c r="W18" s="353">
        <v>21290.2</v>
      </c>
      <c r="X18" s="350"/>
      <c r="Y18" s="341">
        <f>SUM(V18:X18)</f>
        <v>21290.2</v>
      </c>
      <c r="Z18" s="352"/>
      <c r="AA18" s="266">
        <f>Y18+Z18</f>
        <v>21290.2</v>
      </c>
      <c r="AB18" s="232">
        <f>(AA18/O18)</f>
        <v>1.1740552225390015</v>
      </c>
      <c r="AC18" s="178"/>
      <c r="AD18" s="178"/>
    </row>
    <row r="19" spans="1:30" x14ac:dyDescent="0.25">
      <c r="A19" s="180"/>
      <c r="B19" s="274" t="s">
        <v>80</v>
      </c>
      <c r="C19" s="280" t="s">
        <v>79</v>
      </c>
      <c r="D19" s="351"/>
      <c r="E19" s="350"/>
      <c r="F19" s="347"/>
      <c r="G19" s="341">
        <f>SUM(D19:F19)</f>
        <v>0</v>
      </c>
      <c r="H19" s="345"/>
      <c r="I19" s="266">
        <f>G19+H19</f>
        <v>0</v>
      </c>
      <c r="J19" s="351"/>
      <c r="K19" s="350"/>
      <c r="L19" s="347"/>
      <c r="M19" s="341">
        <f>SUM(J19:L19)</f>
        <v>0</v>
      </c>
      <c r="N19" s="345"/>
      <c r="O19" s="266">
        <f>M19+N19</f>
        <v>0</v>
      </c>
      <c r="P19" s="351"/>
      <c r="Q19" s="350"/>
      <c r="R19" s="347"/>
      <c r="S19" s="341">
        <f>SUM(P19:R19)</f>
        <v>0</v>
      </c>
      <c r="T19" s="345"/>
      <c r="U19" s="266">
        <f>S19+T19</f>
        <v>0</v>
      </c>
      <c r="V19" s="351"/>
      <c r="W19" s="350"/>
      <c r="X19" s="347"/>
      <c r="Y19" s="341">
        <f>SUM(V19:X19)</f>
        <v>0</v>
      </c>
      <c r="Z19" s="345"/>
      <c r="AA19" s="266">
        <f>Y19+Z19</f>
        <v>0</v>
      </c>
      <c r="AB19" s="232" t="e">
        <f>(AA19/O19)</f>
        <v>#DIV/0!</v>
      </c>
      <c r="AC19" s="178"/>
      <c r="AD19" s="178"/>
    </row>
    <row r="20" spans="1:30" x14ac:dyDescent="0.25">
      <c r="A20" s="180"/>
      <c r="B20" s="274" t="s">
        <v>78</v>
      </c>
      <c r="C20" s="346" t="s">
        <v>77</v>
      </c>
      <c r="D20" s="344"/>
      <c r="E20" s="343"/>
      <c r="F20" s="342">
        <v>44.3</v>
      </c>
      <c r="G20" s="341">
        <v>44.3</v>
      </c>
      <c r="H20" s="345"/>
      <c r="I20" s="266">
        <f>G20+H20</f>
        <v>44.3</v>
      </c>
      <c r="J20" s="344"/>
      <c r="K20" s="343"/>
      <c r="L20" s="342"/>
      <c r="M20" s="341">
        <f>SUM(J20:L20)</f>
        <v>0</v>
      </c>
      <c r="N20" s="345"/>
      <c r="O20" s="266">
        <f>M20+N20</f>
        <v>0</v>
      </c>
      <c r="P20" s="344"/>
      <c r="Q20" s="343"/>
      <c r="R20" s="342">
        <v>4.3</v>
      </c>
      <c r="S20" s="341">
        <f>SUM(P20:R20)</f>
        <v>4.3</v>
      </c>
      <c r="T20" s="345"/>
      <c r="U20" s="266">
        <f>S20+T20</f>
        <v>4.3</v>
      </c>
      <c r="V20" s="344"/>
      <c r="W20" s="343"/>
      <c r="X20" s="342"/>
      <c r="Y20" s="341">
        <f>SUM(V20:X20)</f>
        <v>0</v>
      </c>
      <c r="Z20" s="345"/>
      <c r="AA20" s="266">
        <f>Y20+Z20</f>
        <v>0</v>
      </c>
      <c r="AB20" s="232" t="e">
        <f>(AA20/O20)</f>
        <v>#DIV/0!</v>
      </c>
      <c r="AC20" s="178"/>
      <c r="AD20" s="178"/>
    </row>
    <row r="21" spans="1:30" x14ac:dyDescent="0.25">
      <c r="A21" s="180"/>
      <c r="B21" s="274" t="s">
        <v>76</v>
      </c>
      <c r="C21" s="273" t="s">
        <v>75</v>
      </c>
      <c r="D21" s="344">
        <v>30.2</v>
      </c>
      <c r="E21" s="343"/>
      <c r="F21" s="342"/>
      <c r="G21" s="341">
        <f>SUM(D21:F21)</f>
        <v>30.2</v>
      </c>
      <c r="H21" s="336"/>
      <c r="I21" s="266">
        <f>G21+H21</f>
        <v>30.2</v>
      </c>
      <c r="J21" s="344"/>
      <c r="K21" s="343"/>
      <c r="L21" s="342"/>
      <c r="M21" s="341">
        <f>SUM(J21:L21)</f>
        <v>0</v>
      </c>
      <c r="N21" s="336"/>
      <c r="O21" s="266">
        <f>M21+N21</f>
        <v>0</v>
      </c>
      <c r="P21" s="344">
        <v>8.1999999999999993</v>
      </c>
      <c r="Q21" s="343"/>
      <c r="R21" s="342"/>
      <c r="S21" s="341">
        <f>SUM(P21:R21)</f>
        <v>8.1999999999999993</v>
      </c>
      <c r="T21" s="336"/>
      <c r="U21" s="266">
        <f>S21+T21</f>
        <v>8.1999999999999993</v>
      </c>
      <c r="V21" s="344"/>
      <c r="W21" s="343"/>
      <c r="X21" s="342"/>
      <c r="Y21" s="341">
        <f>SUM(V21:X21)</f>
        <v>0</v>
      </c>
      <c r="Z21" s="336"/>
      <c r="AA21" s="266">
        <f>Y21+Z21</f>
        <v>0</v>
      </c>
      <c r="AB21" s="232" t="e">
        <f>(AA21/O21)</f>
        <v>#DIV/0!</v>
      </c>
      <c r="AC21" s="178"/>
      <c r="AD21" s="178"/>
    </row>
    <row r="22" spans="1:30" x14ac:dyDescent="0.25">
      <c r="A22" s="180"/>
      <c r="B22" s="274" t="s">
        <v>74</v>
      </c>
      <c r="C22" s="273" t="s">
        <v>73</v>
      </c>
      <c r="D22" s="344"/>
      <c r="E22" s="343"/>
      <c r="F22" s="342"/>
      <c r="G22" s="341">
        <f>SUM(D22:F22)</f>
        <v>0</v>
      </c>
      <c r="H22" s="336"/>
      <c r="I22" s="266">
        <f>G22+H22</f>
        <v>0</v>
      </c>
      <c r="J22" s="344"/>
      <c r="K22" s="343"/>
      <c r="L22" s="342"/>
      <c r="M22" s="341">
        <f>SUM(J22:L22)</f>
        <v>0</v>
      </c>
      <c r="N22" s="336"/>
      <c r="O22" s="266">
        <f>M22+N22</f>
        <v>0</v>
      </c>
      <c r="P22" s="344"/>
      <c r="Q22" s="343"/>
      <c r="R22" s="342"/>
      <c r="S22" s="341">
        <f>SUM(P22:R22)</f>
        <v>0</v>
      </c>
      <c r="T22" s="336"/>
      <c r="U22" s="266">
        <f>S22+T22</f>
        <v>0</v>
      </c>
      <c r="V22" s="344"/>
      <c r="W22" s="343"/>
      <c r="X22" s="342"/>
      <c r="Y22" s="341">
        <f>SUM(V22:X22)</f>
        <v>0</v>
      </c>
      <c r="Z22" s="336"/>
      <c r="AA22" s="266">
        <f>Y22+Z22</f>
        <v>0</v>
      </c>
      <c r="AB22" s="232" t="e">
        <f>(AA22/O22)</f>
        <v>#DIV/0!</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2566.6999999999998</v>
      </c>
      <c r="E24" s="322">
        <f>SUM(E15:E21)</f>
        <v>19218.599999999999</v>
      </c>
      <c r="F24" s="322">
        <f>SUM(F15:F21)</f>
        <v>651.69999999999993</v>
      </c>
      <c r="G24" s="321">
        <f>SUM(D24:F24)</f>
        <v>22437</v>
      </c>
      <c r="H24" s="320">
        <f>SUM(H15:H21)</f>
        <v>0</v>
      </c>
      <c r="I24" s="320">
        <f>SUM(I15:I21)</f>
        <v>22437</v>
      </c>
      <c r="J24" s="323">
        <f>SUM(J15:J21)</f>
        <v>2350.9</v>
      </c>
      <c r="K24" s="322">
        <f>SUM(K15:K21)</f>
        <v>18133.900000000001</v>
      </c>
      <c r="L24" s="322">
        <f>SUM(L15:L21)</f>
        <v>843</v>
      </c>
      <c r="M24" s="321">
        <f>SUM(J24:L24)</f>
        <v>21327.800000000003</v>
      </c>
      <c r="N24" s="320">
        <f>SUM(N15:N21)</f>
        <v>0</v>
      </c>
      <c r="O24" s="320">
        <f>SUM(O15:O21)</f>
        <v>21327.800000000003</v>
      </c>
      <c r="P24" s="323">
        <f>SUM(P15:P21)</f>
        <v>1161.4000000000001</v>
      </c>
      <c r="Q24" s="322">
        <f>SUM(Q15:Q21)</f>
        <v>10181.799999999999</v>
      </c>
      <c r="R24" s="322">
        <f>SUM(R15:R21)</f>
        <v>399.5</v>
      </c>
      <c r="S24" s="321">
        <f>SUM(P24:R24)</f>
        <v>11742.699999999999</v>
      </c>
      <c r="T24" s="320">
        <f>SUM(T15:T21)</f>
        <v>0</v>
      </c>
      <c r="U24" s="320">
        <f>SUM(U15:U21)</f>
        <v>11742.699999999999</v>
      </c>
      <c r="V24" s="323">
        <f>SUM(V15:V21)</f>
        <v>2482.1999999999998</v>
      </c>
      <c r="W24" s="322">
        <f>SUM(W15:W21)</f>
        <v>21290.2</v>
      </c>
      <c r="X24" s="322">
        <f>SUM(X15:X21)</f>
        <v>892</v>
      </c>
      <c r="Y24" s="321">
        <f>SUM(V24:X24)</f>
        <v>24664.400000000001</v>
      </c>
      <c r="Z24" s="320">
        <f>SUM(Z15:Z21)</f>
        <v>0</v>
      </c>
      <c r="AA24" s="320">
        <f>SUM(AA15:AA21)</f>
        <v>24664.400000000001</v>
      </c>
      <c r="AB24" s="319">
        <f>(AA24/O24)</f>
        <v>1.156443702585358</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167.4</v>
      </c>
      <c r="E28" s="287"/>
      <c r="F28" s="287"/>
      <c r="G28" s="286">
        <f>SUM(D28:F28)</f>
        <v>167.4</v>
      </c>
      <c r="H28" s="286"/>
      <c r="I28" s="285">
        <f>G28+H28</f>
        <v>167.4</v>
      </c>
      <c r="J28" s="288">
        <v>188</v>
      </c>
      <c r="K28" s="287"/>
      <c r="L28" s="287"/>
      <c r="M28" s="286">
        <f>SUM(J28:L28)</f>
        <v>188</v>
      </c>
      <c r="N28" s="286"/>
      <c r="O28" s="285">
        <f>M28+N28</f>
        <v>188</v>
      </c>
      <c r="P28" s="288">
        <v>7.8</v>
      </c>
      <c r="Q28" s="287"/>
      <c r="R28" s="287"/>
      <c r="S28" s="286">
        <f>SUM(P28:R28)</f>
        <v>7.8</v>
      </c>
      <c r="T28" s="286"/>
      <c r="U28" s="285">
        <f>S28+T28</f>
        <v>7.8</v>
      </c>
      <c r="V28" s="288">
        <v>128</v>
      </c>
      <c r="W28" s="287"/>
      <c r="X28" s="287"/>
      <c r="Y28" s="286">
        <f>SUM(V28:X28)</f>
        <v>128</v>
      </c>
      <c r="Z28" s="286"/>
      <c r="AA28" s="285">
        <f>Y28+Z28</f>
        <v>128</v>
      </c>
      <c r="AB28" s="232">
        <f>(AA28/O28)</f>
        <v>0.68085106382978722</v>
      </c>
      <c r="AC28" s="178"/>
      <c r="AD28" s="178"/>
    </row>
    <row r="29" spans="1:30" x14ac:dyDescent="0.25">
      <c r="A29" s="180"/>
      <c r="B29" s="274" t="s">
        <v>56</v>
      </c>
      <c r="C29" s="284" t="s">
        <v>55</v>
      </c>
      <c r="D29" s="282">
        <v>403.9</v>
      </c>
      <c r="E29" s="282">
        <v>74.5</v>
      </c>
      <c r="F29" s="282">
        <v>529.6</v>
      </c>
      <c r="G29" s="263">
        <f>SUM(D29:F29)</f>
        <v>1008</v>
      </c>
      <c r="H29" s="281"/>
      <c r="I29" s="266">
        <f>G29+H29</f>
        <v>1008</v>
      </c>
      <c r="J29" s="283">
        <v>308.5</v>
      </c>
      <c r="K29" s="282"/>
      <c r="L29" s="282">
        <v>703</v>
      </c>
      <c r="M29" s="263">
        <f>SUM(J29:L29)</f>
        <v>1011.5</v>
      </c>
      <c r="N29" s="281"/>
      <c r="O29" s="266">
        <f>M29+N29</f>
        <v>1011.5</v>
      </c>
      <c r="P29" s="283">
        <v>103.1</v>
      </c>
      <c r="Q29" s="282">
        <v>3</v>
      </c>
      <c r="R29" s="282">
        <v>316.89999999999998</v>
      </c>
      <c r="S29" s="263">
        <f>SUM(P29:R29)</f>
        <v>423</v>
      </c>
      <c r="T29" s="281"/>
      <c r="U29" s="266">
        <f>S29+T29</f>
        <v>423</v>
      </c>
      <c r="V29" s="283">
        <v>351.3</v>
      </c>
      <c r="W29" s="282">
        <v>88.7</v>
      </c>
      <c r="X29" s="282">
        <v>696</v>
      </c>
      <c r="Y29" s="263">
        <f>SUM(V29:X29)</f>
        <v>1136</v>
      </c>
      <c r="Z29" s="281"/>
      <c r="AA29" s="266">
        <f>Y29+Z29</f>
        <v>1136</v>
      </c>
      <c r="AB29" s="232">
        <f>(AA29/O29)</f>
        <v>1.1230845279288186</v>
      </c>
      <c r="AC29" s="178"/>
      <c r="AD29" s="178"/>
    </row>
    <row r="30" spans="1:30" x14ac:dyDescent="0.25">
      <c r="A30" s="180"/>
      <c r="B30" s="274" t="s">
        <v>54</v>
      </c>
      <c r="C30" s="273" t="s">
        <v>53</v>
      </c>
      <c r="D30" s="267">
        <v>843.6</v>
      </c>
      <c r="E30" s="267"/>
      <c r="F30" s="267" t="s">
        <v>52</v>
      </c>
      <c r="G30" s="263">
        <f>SUM(D30:F30)</f>
        <v>843.6</v>
      </c>
      <c r="H30" s="263"/>
      <c r="I30" s="266">
        <f>G30+H30</f>
        <v>843.6</v>
      </c>
      <c r="J30" s="268">
        <v>918</v>
      </c>
      <c r="K30" s="267"/>
      <c r="L30" s="267"/>
      <c r="M30" s="263">
        <f>SUM(J30:L30)</f>
        <v>918</v>
      </c>
      <c r="N30" s="263"/>
      <c r="O30" s="266">
        <f>M30+N30</f>
        <v>918</v>
      </c>
      <c r="P30" s="268">
        <v>456.7</v>
      </c>
      <c r="Q30" s="267"/>
      <c r="R30" s="267"/>
      <c r="S30" s="263">
        <f>SUM(P30:R30)</f>
        <v>456.7</v>
      </c>
      <c r="T30" s="263"/>
      <c r="U30" s="266">
        <f>S30+T30</f>
        <v>456.7</v>
      </c>
      <c r="V30" s="268">
        <v>1005</v>
      </c>
      <c r="W30" s="267"/>
      <c r="X30" s="267"/>
      <c r="Y30" s="263">
        <f>SUM(V30:X30)</f>
        <v>1005</v>
      </c>
      <c r="Z30" s="263"/>
      <c r="AA30" s="266">
        <f>Y30+Z30</f>
        <v>1005</v>
      </c>
      <c r="AB30" s="232">
        <f>(AA30/O30)</f>
        <v>1.0947712418300655</v>
      </c>
      <c r="AC30" s="178"/>
      <c r="AD30" s="178"/>
    </row>
    <row r="31" spans="1:30" x14ac:dyDescent="0.25">
      <c r="A31" s="180"/>
      <c r="B31" s="274" t="s">
        <v>51</v>
      </c>
      <c r="C31" s="273" t="s">
        <v>50</v>
      </c>
      <c r="D31" s="267">
        <v>347</v>
      </c>
      <c r="E31" s="267">
        <v>6.1</v>
      </c>
      <c r="F31" s="267">
        <v>29.8</v>
      </c>
      <c r="G31" s="263">
        <f>SUM(D31:F31)</f>
        <v>382.90000000000003</v>
      </c>
      <c r="H31" s="263"/>
      <c r="I31" s="266">
        <f>G31+H31</f>
        <v>382.90000000000003</v>
      </c>
      <c r="J31" s="268">
        <v>383</v>
      </c>
      <c r="K31" s="267"/>
      <c r="L31" s="267">
        <v>36</v>
      </c>
      <c r="M31" s="263">
        <f>SUM(J31:L31)</f>
        <v>419</v>
      </c>
      <c r="N31" s="263"/>
      <c r="O31" s="266">
        <f>M31+N31</f>
        <v>419</v>
      </c>
      <c r="P31" s="268">
        <v>182.8</v>
      </c>
      <c r="Q31" s="267"/>
      <c r="R31" s="267"/>
      <c r="S31" s="263">
        <f>SUM(P31:R31)</f>
        <v>182.8</v>
      </c>
      <c r="T31" s="263"/>
      <c r="U31" s="266">
        <f>S31+T31</f>
        <v>182.8</v>
      </c>
      <c r="V31" s="268">
        <v>376</v>
      </c>
      <c r="W31" s="267">
        <v>45</v>
      </c>
      <c r="X31" s="267">
        <v>50.8</v>
      </c>
      <c r="Y31" s="263">
        <f>SUM(V31:X31)</f>
        <v>471.8</v>
      </c>
      <c r="Z31" s="263"/>
      <c r="AA31" s="266">
        <f>Y31+Z31</f>
        <v>471.8</v>
      </c>
      <c r="AB31" s="232">
        <f>(AA31/O31)</f>
        <v>1.1260143198090693</v>
      </c>
      <c r="AC31" s="178"/>
      <c r="AD31" s="178"/>
    </row>
    <row r="32" spans="1:30" x14ac:dyDescent="0.25">
      <c r="A32" s="180"/>
      <c r="B32" s="274" t="s">
        <v>49</v>
      </c>
      <c r="C32" s="273" t="s">
        <v>48</v>
      </c>
      <c r="D32" s="277">
        <v>41.7</v>
      </c>
      <c r="E32" s="267">
        <v>14219.1</v>
      </c>
      <c r="F32" s="267">
        <v>37</v>
      </c>
      <c r="G32" s="263">
        <f>SUM(D32:F32)</f>
        <v>14297.800000000001</v>
      </c>
      <c r="H32" s="263"/>
      <c r="I32" s="266">
        <f>G32+H32</f>
        <v>14297.800000000001</v>
      </c>
      <c r="J32" s="275">
        <v>25</v>
      </c>
      <c r="K32" s="267">
        <v>13638.5</v>
      </c>
      <c r="L32" s="267">
        <v>43</v>
      </c>
      <c r="M32" s="263">
        <f>SUM(J32:L32)</f>
        <v>13706.5</v>
      </c>
      <c r="N32" s="263"/>
      <c r="O32" s="266">
        <f>M32+N32</f>
        <v>13706.5</v>
      </c>
      <c r="P32" s="275"/>
      <c r="Q32" s="267">
        <v>7612.7</v>
      </c>
      <c r="R32" s="267">
        <v>7.9</v>
      </c>
      <c r="S32" s="263">
        <f>SUM(P32:R32)</f>
        <v>7620.5999999999995</v>
      </c>
      <c r="T32" s="263"/>
      <c r="U32" s="266">
        <f>S32+T32</f>
        <v>7620.5999999999995</v>
      </c>
      <c r="V32" s="275">
        <v>7.7</v>
      </c>
      <c r="W32" s="267">
        <v>15844.9</v>
      </c>
      <c r="X32" s="267">
        <v>37</v>
      </c>
      <c r="Y32" s="263">
        <f>SUM(V32:X32)</f>
        <v>15889.6</v>
      </c>
      <c r="Z32" s="263"/>
      <c r="AA32" s="266">
        <f>Y32+Z32</f>
        <v>15889.6</v>
      </c>
      <c r="AB32" s="232">
        <f>(AA32/O32)</f>
        <v>1.1592747966293364</v>
      </c>
      <c r="AC32" s="178"/>
      <c r="AD32" s="178"/>
    </row>
    <row r="33" spans="1:30" x14ac:dyDescent="0.25">
      <c r="A33" s="180"/>
      <c r="B33" s="274" t="s">
        <v>47</v>
      </c>
      <c r="C33" s="280" t="s">
        <v>46</v>
      </c>
      <c r="D33" s="277">
        <v>41</v>
      </c>
      <c r="E33" s="267">
        <v>13884.2</v>
      </c>
      <c r="F33" s="267">
        <v>37</v>
      </c>
      <c r="G33" s="263">
        <f>SUM(D33:F33)</f>
        <v>13962.2</v>
      </c>
      <c r="H33" s="263"/>
      <c r="I33" s="266">
        <f>G33+H33</f>
        <v>13962.2</v>
      </c>
      <c r="J33" s="275">
        <v>25</v>
      </c>
      <c r="K33" s="267">
        <v>13272.5</v>
      </c>
      <c r="L33" s="267">
        <v>43</v>
      </c>
      <c r="M33" s="263">
        <f>SUM(J33:L33)</f>
        <v>13340.5</v>
      </c>
      <c r="N33" s="263"/>
      <c r="O33" s="266">
        <f>M33+N33</f>
        <v>13340.5</v>
      </c>
      <c r="P33" s="275"/>
      <c r="Q33" s="267">
        <v>7413.9</v>
      </c>
      <c r="R33" s="267">
        <v>7.9</v>
      </c>
      <c r="S33" s="263">
        <f>SUM(P33:R33)</f>
        <v>7421.7999999999993</v>
      </c>
      <c r="T33" s="263"/>
      <c r="U33" s="266">
        <f>S33+T33</f>
        <v>7421.7999999999993</v>
      </c>
      <c r="V33" s="275">
        <v>7.5</v>
      </c>
      <c r="W33" s="267">
        <v>15474.8</v>
      </c>
      <c r="X33" s="267">
        <v>37</v>
      </c>
      <c r="Y33" s="263">
        <f>SUM(V33:X33)</f>
        <v>15519.3</v>
      </c>
      <c r="Z33" s="263"/>
      <c r="AA33" s="266">
        <f>Y33+Z33</f>
        <v>15519.3</v>
      </c>
      <c r="AB33" s="232">
        <f>(AA33/O33)</f>
        <v>1.1633222143098085</v>
      </c>
      <c r="AC33" s="178"/>
      <c r="AD33" s="178"/>
    </row>
    <row r="34" spans="1:30" x14ac:dyDescent="0.25">
      <c r="A34" s="180"/>
      <c r="B34" s="274" t="s">
        <v>45</v>
      </c>
      <c r="C34" s="278" t="s">
        <v>44</v>
      </c>
      <c r="D34" s="277">
        <v>0.7</v>
      </c>
      <c r="E34" s="267">
        <v>334.9</v>
      </c>
      <c r="F34" s="267"/>
      <c r="G34" s="263">
        <f>SUM(D34:F34)</f>
        <v>335.59999999999997</v>
      </c>
      <c r="H34" s="263"/>
      <c r="I34" s="266">
        <f>G34+H34</f>
        <v>335.59999999999997</v>
      </c>
      <c r="J34" s="275"/>
      <c r="K34" s="267">
        <v>366</v>
      </c>
      <c r="L34" s="267"/>
      <c r="M34" s="263">
        <f>SUM(J34:L34)</f>
        <v>366</v>
      </c>
      <c r="N34" s="263"/>
      <c r="O34" s="266">
        <f>M34+N34</f>
        <v>366</v>
      </c>
      <c r="P34" s="275" t="s">
        <v>52</v>
      </c>
      <c r="Q34" s="267">
        <v>198.8</v>
      </c>
      <c r="R34" s="267"/>
      <c r="S34" s="263">
        <f>SUM(P34:R34)</f>
        <v>198.8</v>
      </c>
      <c r="T34" s="263"/>
      <c r="U34" s="266">
        <f>S34+T34</f>
        <v>198.8</v>
      </c>
      <c r="V34" s="275">
        <v>0.2</v>
      </c>
      <c r="W34" s="267">
        <v>370.1</v>
      </c>
      <c r="X34" s="267"/>
      <c r="Y34" s="263">
        <f>SUM(V34:X34)</f>
        <v>370.3</v>
      </c>
      <c r="Z34" s="263"/>
      <c r="AA34" s="266">
        <f>Y34+Z34</f>
        <v>370.3</v>
      </c>
      <c r="AB34" s="232">
        <f>(AA34/O34)</f>
        <v>1.0117486338797814</v>
      </c>
      <c r="AC34" s="178"/>
      <c r="AD34" s="178"/>
    </row>
    <row r="35" spans="1:30" x14ac:dyDescent="0.25">
      <c r="A35" s="180"/>
      <c r="B35" s="274" t="s">
        <v>43</v>
      </c>
      <c r="C35" s="273" t="s">
        <v>42</v>
      </c>
      <c r="D35" s="277">
        <v>9.1</v>
      </c>
      <c r="E35" s="267">
        <v>4635.6000000000004</v>
      </c>
      <c r="F35" s="267"/>
      <c r="G35" s="263">
        <f>SUM(D35:F35)</f>
        <v>4644.7000000000007</v>
      </c>
      <c r="H35" s="263"/>
      <c r="I35" s="266">
        <f>G35+H35</f>
        <v>4644.7000000000007</v>
      </c>
      <c r="J35" s="275">
        <v>8.4</v>
      </c>
      <c r="K35" s="267">
        <v>4486.1000000000004</v>
      </c>
      <c r="L35" s="267"/>
      <c r="M35" s="263">
        <f>SUM(J35:L35)</f>
        <v>4494.5</v>
      </c>
      <c r="N35" s="263"/>
      <c r="O35" s="266">
        <f>M35+N35</f>
        <v>4494.5</v>
      </c>
      <c r="P35" s="275"/>
      <c r="Q35" s="267">
        <v>2448.6999999999998</v>
      </c>
      <c r="R35" s="267"/>
      <c r="S35" s="263">
        <f>SUM(P35:R35)</f>
        <v>2448.6999999999998</v>
      </c>
      <c r="T35" s="263"/>
      <c r="U35" s="266">
        <f>S35+T35</f>
        <v>2448.6999999999998</v>
      </c>
      <c r="V35" s="275">
        <v>2.5</v>
      </c>
      <c r="W35" s="267">
        <v>5196.6000000000004</v>
      </c>
      <c r="X35" s="267"/>
      <c r="Y35" s="263">
        <f>SUM(V35:X35)</f>
        <v>5199.1000000000004</v>
      </c>
      <c r="Z35" s="263"/>
      <c r="AA35" s="266">
        <f>Y35+Z35</f>
        <v>5199.1000000000004</v>
      </c>
      <c r="AB35" s="232">
        <f>(AA35/O35)</f>
        <v>1.1567693848036489</v>
      </c>
      <c r="AC35" s="178"/>
      <c r="AD35" s="178"/>
    </row>
    <row r="36" spans="1:30" x14ac:dyDescent="0.25">
      <c r="A36" s="180"/>
      <c r="B36" s="274" t="s">
        <v>41</v>
      </c>
      <c r="C36" s="273" t="s">
        <v>40</v>
      </c>
      <c r="D36" s="267" t="s">
        <v>52</v>
      </c>
      <c r="E36" s="267"/>
      <c r="F36" s="267"/>
      <c r="G36" s="263">
        <f>SUM(D36:F36)</f>
        <v>0</v>
      </c>
      <c r="H36" s="263"/>
      <c r="I36" s="266">
        <f>G36+H36</f>
        <v>0</v>
      </c>
      <c r="J36" s="268"/>
      <c r="K36" s="267"/>
      <c r="L36" s="267"/>
      <c r="M36" s="263">
        <f>SUM(J36:L36)</f>
        <v>0</v>
      </c>
      <c r="N36" s="263"/>
      <c r="O36" s="266">
        <f>M36+N36</f>
        <v>0</v>
      </c>
      <c r="P36" s="268"/>
      <c r="Q36" s="267"/>
      <c r="R36" s="267"/>
      <c r="S36" s="263">
        <f>SUM(P36:R36)</f>
        <v>0</v>
      </c>
      <c r="T36" s="263"/>
      <c r="U36" s="266">
        <f>S36+T36</f>
        <v>0</v>
      </c>
      <c r="V36" s="268"/>
      <c r="W36" s="267"/>
      <c r="X36" s="267"/>
      <c r="Y36" s="263">
        <f>SUM(V36:X36)</f>
        <v>0</v>
      </c>
      <c r="Z36" s="263"/>
      <c r="AA36" s="266">
        <f>Y36+Z36</f>
        <v>0</v>
      </c>
      <c r="AB36" s="232" t="e">
        <f>(AA36/O36)</f>
        <v>#DIV/0!</v>
      </c>
      <c r="AC36" s="178"/>
      <c r="AD36" s="178"/>
    </row>
    <row r="37" spans="1:30" x14ac:dyDescent="0.25">
      <c r="A37" s="180"/>
      <c r="B37" s="274" t="s">
        <v>39</v>
      </c>
      <c r="C37" s="273" t="s">
        <v>38</v>
      </c>
      <c r="D37" s="267">
        <v>396.7</v>
      </c>
      <c r="E37" s="267"/>
      <c r="F37" s="267"/>
      <c r="G37" s="263">
        <f>SUM(D37:F37)</f>
        <v>396.7</v>
      </c>
      <c r="H37" s="263"/>
      <c r="I37" s="266">
        <f>G37+H37</f>
        <v>396.7</v>
      </c>
      <c r="J37" s="268">
        <v>389.1</v>
      </c>
      <c r="K37" s="267"/>
      <c r="L37" s="267"/>
      <c r="M37" s="263">
        <f>SUM(J37:L37)</f>
        <v>389.1</v>
      </c>
      <c r="N37" s="263"/>
      <c r="O37" s="266">
        <f>M37+N37</f>
        <v>389.1</v>
      </c>
      <c r="P37" s="268">
        <v>197.7</v>
      </c>
      <c r="Q37" s="267"/>
      <c r="R37" s="267"/>
      <c r="S37" s="263">
        <f>SUM(P37:R37)</f>
        <v>197.7</v>
      </c>
      <c r="T37" s="263"/>
      <c r="U37" s="266">
        <f>S37+T37</f>
        <v>197.7</v>
      </c>
      <c r="V37" s="268">
        <v>409.4</v>
      </c>
      <c r="W37" s="267"/>
      <c r="X37" s="267"/>
      <c r="Y37" s="263">
        <f>SUM(V37:X37)</f>
        <v>409.4</v>
      </c>
      <c r="Z37" s="263"/>
      <c r="AA37" s="266">
        <f>Y37+Z37</f>
        <v>409.4</v>
      </c>
      <c r="AB37" s="232">
        <f>(AA37/O37)</f>
        <v>1.0521716782318169</v>
      </c>
      <c r="AC37" s="178"/>
      <c r="AD37" s="178"/>
    </row>
    <row r="38" spans="1:30" ht="15.75" thickBot="1" x14ac:dyDescent="0.3">
      <c r="A38" s="180"/>
      <c r="B38" s="265" t="s">
        <v>37</v>
      </c>
      <c r="C38" s="264" t="s">
        <v>36</v>
      </c>
      <c r="D38" s="257">
        <v>284.8</v>
      </c>
      <c r="E38" s="257">
        <v>283.3</v>
      </c>
      <c r="F38" s="257">
        <v>55.3</v>
      </c>
      <c r="G38" s="263">
        <f>SUM(D38:F38)</f>
        <v>623.4</v>
      </c>
      <c r="H38" s="256"/>
      <c r="I38" s="255">
        <f>G38+H38</f>
        <v>623.4</v>
      </c>
      <c r="J38" s="258">
        <v>130.9</v>
      </c>
      <c r="K38" s="257">
        <v>9.3000000000000007</v>
      </c>
      <c r="L38" s="257">
        <v>61</v>
      </c>
      <c r="M38" s="256">
        <f>SUM(J38:L38)</f>
        <v>201.20000000000002</v>
      </c>
      <c r="N38" s="256"/>
      <c r="O38" s="255">
        <f>M38+N38</f>
        <v>201.20000000000002</v>
      </c>
      <c r="P38" s="258">
        <v>60.7</v>
      </c>
      <c r="Q38" s="257">
        <v>117.4</v>
      </c>
      <c r="R38" s="257">
        <v>21.2</v>
      </c>
      <c r="S38" s="256">
        <f>SUM(P38:R38)</f>
        <v>199.3</v>
      </c>
      <c r="T38" s="256"/>
      <c r="U38" s="255">
        <f>S38+T38</f>
        <v>199.3</v>
      </c>
      <c r="V38" s="258">
        <v>202.3</v>
      </c>
      <c r="W38" s="257">
        <v>115</v>
      </c>
      <c r="X38" s="257">
        <v>108.2</v>
      </c>
      <c r="Y38" s="256">
        <f>SUM(V38:X38)</f>
        <v>425.5</v>
      </c>
      <c r="Z38" s="256"/>
      <c r="AA38" s="255">
        <f>Y38+Z38</f>
        <v>425.5</v>
      </c>
      <c r="AB38" s="254">
        <f>(AA38/O38)</f>
        <v>2.1148111332007948</v>
      </c>
      <c r="AC38" s="178"/>
      <c r="AD38" s="178"/>
    </row>
    <row r="39" spans="1:30" ht="15.75" thickBot="1" x14ac:dyDescent="0.3">
      <c r="A39" s="180"/>
      <c r="B39" s="253" t="s">
        <v>35</v>
      </c>
      <c r="C39" s="252" t="s">
        <v>34</v>
      </c>
      <c r="D39" s="251">
        <f>SUM(D35:D38)+SUM(D28:D32)</f>
        <v>2494.2000000000003</v>
      </c>
      <c r="E39" s="251">
        <f>SUM(E35:E38)+SUM(E28:E32)</f>
        <v>19218.600000000002</v>
      </c>
      <c r="F39" s="251">
        <f>SUM(F35:F38)+SUM(F28:F32)</f>
        <v>651.69999999999993</v>
      </c>
      <c r="G39" s="250">
        <f>SUM(D39:F39)</f>
        <v>22364.500000000004</v>
      </c>
      <c r="H39" s="249">
        <f>SUM(H28:H32)+SUM(H35:H38)</f>
        <v>0</v>
      </c>
      <c r="I39" s="248">
        <f>SUM(I35:I38)+SUM(I28:I32)</f>
        <v>22364.5</v>
      </c>
      <c r="J39" s="251">
        <f>SUM(J35:J38)+SUM(J28:J32)</f>
        <v>2350.9</v>
      </c>
      <c r="K39" s="251">
        <f>SUM(K35:K38)+SUM(K28:K32)</f>
        <v>18133.900000000001</v>
      </c>
      <c r="L39" s="251">
        <f>SUM(L35:L38)+SUM(L28:L32)</f>
        <v>843</v>
      </c>
      <c r="M39" s="250">
        <f>SUM(J39:L39)</f>
        <v>21327.800000000003</v>
      </c>
      <c r="N39" s="249">
        <f>SUM(N28:N32)+SUM(N35:N38)</f>
        <v>0</v>
      </c>
      <c r="O39" s="248">
        <f>SUM(O35:O38)+SUM(O28:O32)</f>
        <v>21327.8</v>
      </c>
      <c r="P39" s="251">
        <f>SUM(P35:P38)+SUM(P28:P32)</f>
        <v>1008.8000000000001</v>
      </c>
      <c r="Q39" s="251">
        <f>SUM(Q35:Q38)+SUM(Q28:Q32)</f>
        <v>10181.799999999999</v>
      </c>
      <c r="R39" s="251">
        <f>SUM(R35:R38)+SUM(R28:R32)</f>
        <v>345.99999999999994</v>
      </c>
      <c r="S39" s="250">
        <f>SUM(P39:R39)</f>
        <v>11536.599999999999</v>
      </c>
      <c r="T39" s="249">
        <f>SUM(T28:T32)+SUM(T35:T38)</f>
        <v>0</v>
      </c>
      <c r="U39" s="248">
        <f>SUM(U35:U38)+SUM(U28:U32)</f>
        <v>11536.599999999999</v>
      </c>
      <c r="V39" s="251">
        <f>SUM(V35:V38)+SUM(V28:V32)</f>
        <v>2482.1999999999998</v>
      </c>
      <c r="W39" s="251">
        <f>SUM(W35:W38)+SUM(W28:W32)</f>
        <v>21290.2</v>
      </c>
      <c r="X39" s="251">
        <f>SUM(X35:X38)+SUM(X28:X32)</f>
        <v>892</v>
      </c>
      <c r="Y39" s="250">
        <f>SUM(V39:X39)</f>
        <v>24664.400000000001</v>
      </c>
      <c r="Z39" s="249">
        <f>SUM(Z28:Z32)+SUM(Z35:Z38)</f>
        <v>0</v>
      </c>
      <c r="AA39" s="248">
        <f>SUM(AA35:AA38)+SUM(AA28:AA32)</f>
        <v>24664.400000000001</v>
      </c>
      <c r="AB39" s="247">
        <f>(AA39/O39)</f>
        <v>1.1564437025853582</v>
      </c>
      <c r="AC39" s="178"/>
      <c r="AD39" s="178"/>
    </row>
    <row r="40" spans="1:30" ht="19.5" thickBot="1" x14ac:dyDescent="0.35">
      <c r="A40" s="180"/>
      <c r="B40" s="246" t="s">
        <v>33</v>
      </c>
      <c r="C40" s="245" t="s">
        <v>32</v>
      </c>
      <c r="D40" s="244">
        <f>D24-D39</f>
        <v>72.499999999999545</v>
      </c>
      <c r="E40" s="244">
        <f>E24-E39</f>
        <v>0</v>
      </c>
      <c r="F40" s="244">
        <f>F24-F39</f>
        <v>0</v>
      </c>
      <c r="G40" s="243">
        <f>G24-G39</f>
        <v>72.499999999996362</v>
      </c>
      <c r="H40" s="243">
        <f>H24-H39</f>
        <v>0</v>
      </c>
      <c r="I40" s="242">
        <f>I24-I39</f>
        <v>72.5</v>
      </c>
      <c r="J40" s="244">
        <f>J24-J39</f>
        <v>0</v>
      </c>
      <c r="K40" s="244">
        <f>K24-K39</f>
        <v>0</v>
      </c>
      <c r="L40" s="244">
        <f>L24-L39</f>
        <v>0</v>
      </c>
      <c r="M40" s="243">
        <f>M24-M39</f>
        <v>0</v>
      </c>
      <c r="N40" s="243">
        <f>N24-N39</f>
        <v>0</v>
      </c>
      <c r="O40" s="242">
        <f>O24-O39</f>
        <v>0</v>
      </c>
      <c r="P40" s="244">
        <f>P24-P39</f>
        <v>152.60000000000002</v>
      </c>
      <c r="Q40" s="244">
        <f>Q24-Q39</f>
        <v>0</v>
      </c>
      <c r="R40" s="244">
        <f>R24-R39</f>
        <v>53.500000000000057</v>
      </c>
      <c r="S40" s="243">
        <f>S24-S39</f>
        <v>206.10000000000036</v>
      </c>
      <c r="T40" s="243">
        <f>T24-T39</f>
        <v>0</v>
      </c>
      <c r="U40" s="242">
        <f>U24-U39</f>
        <v>206.10000000000036</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-2427.1</v>
      </c>
      <c r="J41" s="237"/>
      <c r="K41" s="236"/>
      <c r="L41" s="236"/>
      <c r="M41" s="235"/>
      <c r="N41" s="234"/>
      <c r="O41" s="233">
        <f>O40-J16</f>
        <v>-2225</v>
      </c>
      <c r="P41" s="237"/>
      <c r="Q41" s="236"/>
      <c r="R41" s="236"/>
      <c r="S41" s="235"/>
      <c r="T41" s="234"/>
      <c r="U41" s="233">
        <f>U40-P16</f>
        <v>-884.19999999999959</v>
      </c>
      <c r="V41" s="237"/>
      <c r="W41" s="236"/>
      <c r="X41" s="236"/>
      <c r="Y41" s="235"/>
      <c r="Z41" s="234"/>
      <c r="AA41" s="233">
        <f>AA40-V16</f>
        <v>-2375</v>
      </c>
      <c r="AB41" s="232">
        <f>(AA41/O41)</f>
        <v>1.0674157303370786</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267.39999999999998</v>
      </c>
      <c r="E44" s="225">
        <v>267.39999999999998</v>
      </c>
      <c r="F44" s="224">
        <v>0</v>
      </c>
      <c r="G44" s="202"/>
      <c r="H44" s="202"/>
      <c r="I44" s="201"/>
      <c r="J44" s="214">
        <v>267.39999999999998</v>
      </c>
      <c r="K44" s="225">
        <v>267.39999999999998</v>
      </c>
      <c r="L44" s="224">
        <v>0</v>
      </c>
      <c r="M44" s="223"/>
      <c r="N44" s="223"/>
      <c r="O44" s="223"/>
      <c r="P44" s="214">
        <v>267.39999999999998</v>
      </c>
      <c r="Q44" s="225">
        <v>267.39999999999998</v>
      </c>
      <c r="R44" s="224">
        <v>0</v>
      </c>
      <c r="S44" s="178"/>
      <c r="T44" s="178"/>
      <c r="U44" s="178"/>
      <c r="V44" s="214">
        <v>267.39999999999998</v>
      </c>
      <c r="W44" s="225">
        <v>267.39999999999998</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D50+E50-F50</f>
        <v>0</v>
      </c>
      <c r="H50" s="202"/>
      <c r="I50" s="178"/>
      <c r="J50" s="210"/>
      <c r="K50" s="210"/>
      <c r="L50" s="210"/>
      <c r="M50" s="209">
        <f>J50+K50-L50</f>
        <v>0</v>
      </c>
      <c r="N50" s="178"/>
      <c r="O50" s="178"/>
      <c r="P50" s="210"/>
      <c r="Q50" s="210"/>
      <c r="R50" s="210"/>
      <c r="S50" s="209">
        <f>P50+Q50-R50</f>
        <v>0</v>
      </c>
      <c r="T50" s="178"/>
      <c r="U50" s="178"/>
      <c r="V50" s="210"/>
      <c r="W50" s="210"/>
      <c r="X50" s="210"/>
      <c r="Y50" s="209">
        <f>V50+W50-X50</f>
        <v>0</v>
      </c>
      <c r="Z50" s="178"/>
      <c r="AA50" s="178"/>
      <c r="AB50" s="178"/>
      <c r="AC50" s="178"/>
      <c r="AD50" s="178"/>
    </row>
    <row r="51" spans="1:30" x14ac:dyDescent="0.25">
      <c r="A51" s="180"/>
      <c r="B51" s="204"/>
      <c r="C51" s="206" t="s">
        <v>15</v>
      </c>
      <c r="D51" s="210">
        <v>316.5</v>
      </c>
      <c r="E51" s="210">
        <v>529.1</v>
      </c>
      <c r="F51" s="210">
        <v>63.7</v>
      </c>
      <c r="G51" s="209">
        <f>D51+E51-F51</f>
        <v>781.9</v>
      </c>
      <c r="H51" s="202"/>
      <c r="I51" s="178"/>
      <c r="J51" s="210">
        <v>781.9</v>
      </c>
      <c r="K51" s="210">
        <v>106.3</v>
      </c>
      <c r="L51" s="210">
        <v>448.6</v>
      </c>
      <c r="M51" s="209">
        <f>J51+K51-L51</f>
        <v>439.59999999999991</v>
      </c>
      <c r="N51" s="178"/>
      <c r="O51" s="178"/>
      <c r="P51" s="210">
        <v>781.9</v>
      </c>
      <c r="Q51" s="210">
        <v>106.3</v>
      </c>
      <c r="R51" s="210">
        <v>448.6</v>
      </c>
      <c r="S51" s="209">
        <f>P51+Q51-R51</f>
        <v>439.59999999999991</v>
      </c>
      <c r="T51" s="178"/>
      <c r="U51" s="178"/>
      <c r="V51" s="210">
        <v>439.6</v>
      </c>
      <c r="W51" s="210">
        <v>0</v>
      </c>
      <c r="X51" s="210">
        <v>0</v>
      </c>
      <c r="Y51" s="209">
        <f>V51+W51-X51</f>
        <v>439.6</v>
      </c>
      <c r="Z51" s="178"/>
      <c r="AA51" s="178"/>
      <c r="AB51" s="178"/>
      <c r="AC51" s="178"/>
      <c r="AD51" s="178"/>
    </row>
    <row r="52" spans="1:30" x14ac:dyDescent="0.25">
      <c r="A52" s="180"/>
      <c r="B52" s="204"/>
      <c r="C52" s="206" t="s">
        <v>14</v>
      </c>
      <c r="D52" s="210">
        <v>227.8</v>
      </c>
      <c r="E52" s="210">
        <v>396.7</v>
      </c>
      <c r="F52" s="210">
        <v>366.1</v>
      </c>
      <c r="G52" s="209">
        <f>D52+E52-F52</f>
        <v>258.39999999999998</v>
      </c>
      <c r="H52" s="202"/>
      <c r="I52" s="178"/>
      <c r="J52" s="210">
        <v>258.39999999999998</v>
      </c>
      <c r="K52" s="210">
        <v>402.6</v>
      </c>
      <c r="L52" s="210">
        <v>470</v>
      </c>
      <c r="M52" s="209">
        <f>J52+K52-L52</f>
        <v>191</v>
      </c>
      <c r="N52" s="178"/>
      <c r="O52" s="178"/>
      <c r="P52" s="210">
        <v>258.39999999999998</v>
      </c>
      <c r="Q52" s="210">
        <v>402.6</v>
      </c>
      <c r="R52" s="210">
        <v>470</v>
      </c>
      <c r="S52" s="209">
        <f>P52+Q52-R52</f>
        <v>191</v>
      </c>
      <c r="T52" s="178"/>
      <c r="U52" s="178"/>
      <c r="V52" s="210">
        <v>191</v>
      </c>
      <c r="W52" s="210">
        <v>409.3</v>
      </c>
      <c r="X52" s="210">
        <v>267.39999999999998</v>
      </c>
      <c r="Y52" s="209">
        <f>V52+W52-X52</f>
        <v>332.9</v>
      </c>
      <c r="Z52" s="178"/>
      <c r="AA52" s="178"/>
      <c r="AB52" s="178"/>
      <c r="AC52" s="178"/>
      <c r="AD52" s="178"/>
    </row>
    <row r="53" spans="1:30" x14ac:dyDescent="0.25">
      <c r="A53" s="180"/>
      <c r="B53" s="204"/>
      <c r="C53" s="206" t="s">
        <v>13</v>
      </c>
      <c r="D53" s="210">
        <v>113.7</v>
      </c>
      <c r="E53" s="210">
        <v>51.3</v>
      </c>
      <c r="F53" s="210">
        <v>0</v>
      </c>
      <c r="G53" s="209">
        <f>D53+E53-F53</f>
        <v>165</v>
      </c>
      <c r="H53" s="202"/>
      <c r="I53" s="178"/>
      <c r="J53" s="210">
        <v>165</v>
      </c>
      <c r="K53" s="210">
        <v>14.4</v>
      </c>
      <c r="L53" s="210">
        <v>0</v>
      </c>
      <c r="M53" s="209">
        <f>J53+K53-L53</f>
        <v>179.4</v>
      </c>
      <c r="N53" s="178"/>
      <c r="O53" s="178"/>
      <c r="P53" s="210">
        <v>179.4</v>
      </c>
      <c r="Q53" s="210">
        <v>0</v>
      </c>
      <c r="R53" s="210">
        <v>0</v>
      </c>
      <c r="S53" s="209">
        <f>P53+Q53-R53</f>
        <v>179.4</v>
      </c>
      <c r="T53" s="178"/>
      <c r="U53" s="178"/>
      <c r="V53" s="210">
        <v>179.4</v>
      </c>
      <c r="W53" s="210">
        <v>0</v>
      </c>
      <c r="X53" s="210">
        <v>0</v>
      </c>
      <c r="Y53" s="209">
        <f>V53+W53-X53</f>
        <v>179.4</v>
      </c>
      <c r="Z53" s="178"/>
      <c r="AA53" s="178"/>
      <c r="AB53" s="178"/>
      <c r="AC53" s="178"/>
      <c r="AD53" s="178"/>
    </row>
    <row r="54" spans="1:30" x14ac:dyDescent="0.25">
      <c r="A54" s="180"/>
      <c r="B54" s="204"/>
      <c r="C54" s="212" t="s">
        <v>12</v>
      </c>
      <c r="D54" s="210">
        <v>89</v>
      </c>
      <c r="E54" s="210">
        <v>277.8</v>
      </c>
      <c r="F54" s="210">
        <v>223.1</v>
      </c>
      <c r="G54" s="209">
        <f>D54+E54-F54</f>
        <v>143.70000000000002</v>
      </c>
      <c r="H54" s="202"/>
      <c r="I54" s="178"/>
      <c r="J54" s="210">
        <v>143.69999999999999</v>
      </c>
      <c r="K54" s="210">
        <v>306.89999999999998</v>
      </c>
      <c r="L54" s="210">
        <v>412.6</v>
      </c>
      <c r="M54" s="209">
        <f>J54+K54-L54</f>
        <v>37.999999999999943</v>
      </c>
      <c r="N54" s="178"/>
      <c r="O54" s="178"/>
      <c r="P54" s="210">
        <v>38</v>
      </c>
      <c r="Q54" s="210">
        <v>320</v>
      </c>
      <c r="R54" s="210">
        <v>320</v>
      </c>
      <c r="S54" s="209">
        <f>P54+Q54-R54</f>
        <v>38</v>
      </c>
      <c r="T54" s="178"/>
      <c r="U54" s="178"/>
      <c r="V54" s="210">
        <v>38</v>
      </c>
      <c r="W54" s="210">
        <v>320</v>
      </c>
      <c r="X54" s="210">
        <v>320</v>
      </c>
      <c r="Y54" s="209">
        <f>V54+W54-X54</f>
        <v>38</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34.9</v>
      </c>
      <c r="E57" s="205">
        <v>36.9</v>
      </c>
      <c r="F57" s="202"/>
      <c r="G57" s="202"/>
      <c r="H57" s="202"/>
      <c r="I57" s="201"/>
      <c r="J57" s="205">
        <v>36.9</v>
      </c>
      <c r="K57" s="202"/>
      <c r="L57" s="202"/>
      <c r="M57" s="202"/>
      <c r="N57" s="202"/>
      <c r="O57" s="201"/>
      <c r="P57" s="205">
        <v>36.9</v>
      </c>
      <c r="Q57" s="201"/>
      <c r="R57" s="201"/>
      <c r="S57" s="201"/>
      <c r="T57" s="201"/>
      <c r="U57" s="201"/>
      <c r="V57" s="205">
        <v>36.9</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44502</v>
      </c>
      <c r="D91" s="179" t="s">
        <v>4</v>
      </c>
      <c r="E91" s="184" t="s">
        <v>255</v>
      </c>
      <c r="F91" s="184"/>
      <c r="G91" s="184"/>
      <c r="H91" s="179"/>
      <c r="I91" s="179" t="s">
        <v>2</v>
      </c>
      <c r="J91" s="183" t="s">
        <v>254</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5">
    <mergeCell ref="B10:B13"/>
    <mergeCell ref="J10:O10"/>
    <mergeCell ref="J11:M11"/>
    <mergeCell ref="J12:O12"/>
    <mergeCell ref="J13:L13"/>
    <mergeCell ref="M13:M14"/>
    <mergeCell ref="N13:N14"/>
    <mergeCell ref="N26:N27"/>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91:G91"/>
    <mergeCell ref="J91:M91"/>
    <mergeCell ref="B63:U63"/>
    <mergeCell ref="B82:U82"/>
    <mergeCell ref="H26:H27"/>
    <mergeCell ref="I26:I27"/>
    <mergeCell ref="V10:AA10"/>
    <mergeCell ref="V25:AA25"/>
    <mergeCell ref="Y13:Y14"/>
    <mergeCell ref="Z13:Z14"/>
    <mergeCell ref="S13:S14"/>
    <mergeCell ref="T13:T14"/>
    <mergeCell ref="U13:U14"/>
    <mergeCell ref="P25:U25"/>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cfRule type="cellIs" dxfId="27" priority="3" operator="equal">
      <formula>0</formula>
    </cfRule>
    <cfRule type="containsErrors" dxfId="26" priority="4">
      <formula>ISERROR(AB15)</formula>
    </cfRule>
  </conditionalFormatting>
  <conditionalFormatting sqref="AB28:AB41">
    <cfRule type="cellIs" dxfId="25" priority="1" operator="equal">
      <formula>0</formula>
    </cfRule>
    <cfRule type="containsErrors" dxfId="24" priority="2">
      <formula>ISERROR(AB28)</formula>
    </cfRule>
  </conditionalFormatting>
  <pageMargins left="0.70866141732283472" right="0.70866141732283472" top="0.78740157480314965" bottom="0.78740157480314965" header="0.31496062992125984" footer="0.31496062992125984"/>
  <pageSetup paperSize="9" scale="2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276"/>
  <sheetViews>
    <sheetView showGridLines="0" zoomScale="80" zoomScaleNormal="80" zoomScaleSheetLayoutView="80" workbookViewId="0">
      <selection activeCell="F46" sqref="F46"/>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187</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46789791</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186</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248.1</v>
      </c>
      <c r="G15" s="366">
        <f>SUM(D15:F15)</f>
        <v>248.1</v>
      </c>
      <c r="H15" s="352">
        <v>139.80000000000001</v>
      </c>
      <c r="I15" s="266">
        <f>G15+H15</f>
        <v>387.9</v>
      </c>
      <c r="J15" s="369"/>
      <c r="K15" s="368"/>
      <c r="L15" s="367">
        <v>400</v>
      </c>
      <c r="M15" s="366">
        <f>SUM(J15:L15)</f>
        <v>400</v>
      </c>
      <c r="N15" s="352">
        <v>200</v>
      </c>
      <c r="O15" s="266">
        <f>M15+N15</f>
        <v>600</v>
      </c>
      <c r="P15" s="369"/>
      <c r="Q15" s="368"/>
      <c r="R15" s="367">
        <v>212.5</v>
      </c>
      <c r="S15" s="366">
        <f>SUM(P15:R15)</f>
        <v>212.5</v>
      </c>
      <c r="T15" s="352">
        <v>82.5</v>
      </c>
      <c r="U15" s="266">
        <f>S15+T15</f>
        <v>295</v>
      </c>
      <c r="V15" s="369"/>
      <c r="W15" s="368"/>
      <c r="X15" s="367">
        <v>400</v>
      </c>
      <c r="Y15" s="366">
        <f>SUM(V15:X15)</f>
        <v>400</v>
      </c>
      <c r="Z15" s="352">
        <v>200</v>
      </c>
      <c r="AA15" s="266">
        <f>Y15+Z15</f>
        <v>600</v>
      </c>
      <c r="AB15" s="232">
        <f>(AA15/O15)</f>
        <v>1</v>
      </c>
      <c r="AC15" s="178"/>
      <c r="AD15" s="178"/>
    </row>
    <row r="16" spans="1:30" x14ac:dyDescent="0.25">
      <c r="A16" s="180"/>
      <c r="B16" s="274" t="s">
        <v>86</v>
      </c>
      <c r="C16" s="361" t="s">
        <v>85</v>
      </c>
      <c r="D16" s="360">
        <v>4449.2</v>
      </c>
      <c r="E16" s="343"/>
      <c r="F16" s="343"/>
      <c r="G16" s="341">
        <f>SUM(D16:F16)</f>
        <v>4449.2</v>
      </c>
      <c r="H16" s="358"/>
      <c r="I16" s="266">
        <f>G16+H16</f>
        <v>4449.2</v>
      </c>
      <c r="J16" s="360">
        <v>4114.8</v>
      </c>
      <c r="K16" s="343"/>
      <c r="L16" s="343"/>
      <c r="M16" s="341">
        <f>SUM(J16:L16)</f>
        <v>4114.8</v>
      </c>
      <c r="N16" s="358"/>
      <c r="O16" s="266">
        <f>M16+N16</f>
        <v>4114.8</v>
      </c>
      <c r="P16" s="360">
        <v>2057.4</v>
      </c>
      <c r="Q16" s="343"/>
      <c r="R16" s="343"/>
      <c r="S16" s="341">
        <f>SUM(P16:R16)</f>
        <v>2057.4</v>
      </c>
      <c r="T16" s="358"/>
      <c r="U16" s="266">
        <f>S16+T16</f>
        <v>2057.4</v>
      </c>
      <c r="V16" s="360">
        <v>4275</v>
      </c>
      <c r="W16" s="343"/>
      <c r="X16" s="343"/>
      <c r="Y16" s="341">
        <f>SUM(V16:X16)</f>
        <v>4275</v>
      </c>
      <c r="Z16" s="358"/>
      <c r="AA16" s="266">
        <f>Y16+Z16</f>
        <v>4275</v>
      </c>
      <c r="AB16" s="232">
        <f>(AA16/O16)</f>
        <v>1.0389326334208224</v>
      </c>
      <c r="AC16" s="178"/>
      <c r="AD16" s="178"/>
    </row>
    <row r="17" spans="1:30" x14ac:dyDescent="0.25">
      <c r="A17" s="180"/>
      <c r="B17" s="274" t="s">
        <v>84</v>
      </c>
      <c r="C17" s="357" t="s">
        <v>83</v>
      </c>
      <c r="D17" s="356">
        <v>139.6</v>
      </c>
      <c r="E17" s="350"/>
      <c r="F17" s="350"/>
      <c r="G17" s="341">
        <f>SUM(D17:F17)</f>
        <v>139.6</v>
      </c>
      <c r="H17" s="355"/>
      <c r="I17" s="266">
        <f>G17+H17</f>
        <v>139.6</v>
      </c>
      <c r="J17" s="356">
        <v>177.6</v>
      </c>
      <c r="K17" s="350"/>
      <c r="L17" s="350"/>
      <c r="M17" s="341">
        <f>SUM(J17:L17)</f>
        <v>177.6</v>
      </c>
      <c r="N17" s="355"/>
      <c r="O17" s="266">
        <f>M17+N17</f>
        <v>177.6</v>
      </c>
      <c r="P17" s="356">
        <v>88.8</v>
      </c>
      <c r="Q17" s="350"/>
      <c r="R17" s="350"/>
      <c r="S17" s="341">
        <f>SUM(P17:R17)</f>
        <v>88.8</v>
      </c>
      <c r="T17" s="355"/>
      <c r="U17" s="266">
        <f>S17+T17</f>
        <v>88.8</v>
      </c>
      <c r="V17" s="356">
        <v>155.5</v>
      </c>
      <c r="W17" s="350"/>
      <c r="X17" s="350"/>
      <c r="Y17" s="341">
        <f>SUM(V17:X17)</f>
        <v>155.5</v>
      </c>
      <c r="Z17" s="355"/>
      <c r="AA17" s="266">
        <f>Y17+Z17</f>
        <v>155.5</v>
      </c>
      <c r="AB17" s="232">
        <f>(AA17/O17)</f>
        <v>0.87556306306306309</v>
      </c>
      <c r="AC17" s="178"/>
      <c r="AD17" s="178"/>
    </row>
    <row r="18" spans="1:30" x14ac:dyDescent="0.25">
      <c r="A18" s="180"/>
      <c r="B18" s="274" t="s">
        <v>82</v>
      </c>
      <c r="C18" s="354" t="s">
        <v>81</v>
      </c>
      <c r="D18" s="344"/>
      <c r="E18" s="353">
        <v>41357.699999999997</v>
      </c>
      <c r="F18" s="350"/>
      <c r="G18" s="341">
        <f>SUM(D18:F18)</f>
        <v>41357.699999999997</v>
      </c>
      <c r="H18" s="352">
        <v>0</v>
      </c>
      <c r="I18" s="266">
        <f>G18+H18</f>
        <v>41357.699999999997</v>
      </c>
      <c r="J18" s="344"/>
      <c r="K18" s="353">
        <v>45321.2</v>
      </c>
      <c r="L18" s="350"/>
      <c r="M18" s="341">
        <f>SUM(J18:L18)</f>
        <v>45321.2</v>
      </c>
      <c r="N18" s="352">
        <v>0</v>
      </c>
      <c r="O18" s="266">
        <f>M18+N18</f>
        <v>45321.2</v>
      </c>
      <c r="P18" s="344"/>
      <c r="Q18" s="353">
        <v>22661</v>
      </c>
      <c r="R18" s="350"/>
      <c r="S18" s="341">
        <f>SUM(P18:R18)</f>
        <v>22661</v>
      </c>
      <c r="T18" s="352">
        <v>0</v>
      </c>
      <c r="U18" s="266">
        <f>S18+T18</f>
        <v>22661</v>
      </c>
      <c r="V18" s="344"/>
      <c r="W18" s="353">
        <v>45322</v>
      </c>
      <c r="X18" s="350"/>
      <c r="Y18" s="341">
        <f>SUM(V18:X18)</f>
        <v>45322</v>
      </c>
      <c r="Z18" s="352">
        <v>0</v>
      </c>
      <c r="AA18" s="266">
        <f>Y18+Z18</f>
        <v>45322</v>
      </c>
      <c r="AB18" s="232">
        <f>(AA18/O18)</f>
        <v>1.0000176517832715</v>
      </c>
      <c r="AC18" s="178"/>
      <c r="AD18" s="178"/>
    </row>
    <row r="19" spans="1:30" x14ac:dyDescent="0.25">
      <c r="A19" s="180"/>
      <c r="B19" s="274" t="s">
        <v>80</v>
      </c>
      <c r="C19" s="280" t="s">
        <v>79</v>
      </c>
      <c r="D19" s="351"/>
      <c r="E19" s="350"/>
      <c r="F19" s="347">
        <v>0</v>
      </c>
      <c r="G19" s="341">
        <f>SUM(D19:F19)</f>
        <v>0</v>
      </c>
      <c r="H19" s="345">
        <v>0</v>
      </c>
      <c r="I19" s="266">
        <f>G19+H19</f>
        <v>0</v>
      </c>
      <c r="J19" s="351"/>
      <c r="K19" s="350"/>
      <c r="L19" s="347">
        <v>0</v>
      </c>
      <c r="M19" s="341">
        <f>SUM(J19:L19)</f>
        <v>0</v>
      </c>
      <c r="N19" s="345">
        <v>0</v>
      </c>
      <c r="O19" s="266">
        <f>M19+N19</f>
        <v>0</v>
      </c>
      <c r="P19" s="351"/>
      <c r="Q19" s="350"/>
      <c r="R19" s="347">
        <v>0</v>
      </c>
      <c r="S19" s="341">
        <f>SUM(P19:R19)</f>
        <v>0</v>
      </c>
      <c r="T19" s="345">
        <v>0</v>
      </c>
      <c r="U19" s="266">
        <f>S19+T19</f>
        <v>0</v>
      </c>
      <c r="V19" s="351"/>
      <c r="W19" s="350"/>
      <c r="X19" s="347">
        <v>0</v>
      </c>
      <c r="Y19" s="341">
        <f>SUM(V19:X19)</f>
        <v>0</v>
      </c>
      <c r="Z19" s="345">
        <v>0</v>
      </c>
      <c r="AA19" s="266">
        <f>Y19+Z19</f>
        <v>0</v>
      </c>
      <c r="AB19" s="232" t="e">
        <f>(AA19/O19)</f>
        <v>#DIV/0!</v>
      </c>
      <c r="AC19" s="178"/>
      <c r="AD19" s="178"/>
    </row>
    <row r="20" spans="1:30" x14ac:dyDescent="0.25">
      <c r="A20" s="180"/>
      <c r="B20" s="274" t="s">
        <v>78</v>
      </c>
      <c r="C20" s="346" t="s">
        <v>77</v>
      </c>
      <c r="D20" s="344"/>
      <c r="E20" s="343"/>
      <c r="F20" s="342">
        <v>178.5</v>
      </c>
      <c r="G20" s="341">
        <f>F20</f>
        <v>178.5</v>
      </c>
      <c r="H20" s="345">
        <v>0</v>
      </c>
      <c r="I20" s="266">
        <f>G20+H20</f>
        <v>178.5</v>
      </c>
      <c r="J20" s="344"/>
      <c r="K20" s="343"/>
      <c r="L20" s="342">
        <v>150</v>
      </c>
      <c r="M20" s="341">
        <f>SUM(J20:L20)</f>
        <v>150</v>
      </c>
      <c r="N20" s="345">
        <v>0</v>
      </c>
      <c r="O20" s="266">
        <f>M20+N20</f>
        <v>150</v>
      </c>
      <c r="P20" s="344"/>
      <c r="Q20" s="343"/>
      <c r="R20" s="342">
        <v>125.6</v>
      </c>
      <c r="S20" s="341">
        <f>SUM(P20:R20)</f>
        <v>125.6</v>
      </c>
      <c r="T20" s="345">
        <v>0</v>
      </c>
      <c r="U20" s="266">
        <f>S20+T20</f>
        <v>125.6</v>
      </c>
      <c r="V20" s="344"/>
      <c r="W20" s="343"/>
      <c r="X20" s="342">
        <v>254.8</v>
      </c>
      <c r="Y20" s="341">
        <f>SUM(V20:X20)</f>
        <v>254.8</v>
      </c>
      <c r="Z20" s="345">
        <v>0</v>
      </c>
      <c r="AA20" s="266">
        <f>Y20+Z20</f>
        <v>254.8</v>
      </c>
      <c r="AB20" s="232">
        <f>(AA20/O20)</f>
        <v>1.6986666666666668</v>
      </c>
      <c r="AC20" s="178"/>
      <c r="AD20" s="178"/>
    </row>
    <row r="21" spans="1:30" x14ac:dyDescent="0.25">
      <c r="A21" s="180"/>
      <c r="B21" s="274" t="s">
        <v>76</v>
      </c>
      <c r="C21" s="273" t="s">
        <v>75</v>
      </c>
      <c r="D21" s="344"/>
      <c r="E21" s="343"/>
      <c r="F21" s="342">
        <v>73.3</v>
      </c>
      <c r="G21" s="341">
        <f>SUM(D21:F21)</f>
        <v>73.3</v>
      </c>
      <c r="H21" s="336">
        <v>360</v>
      </c>
      <c r="I21" s="266">
        <f>G21+H21</f>
        <v>433.3</v>
      </c>
      <c r="J21" s="344"/>
      <c r="K21" s="343"/>
      <c r="L21" s="342">
        <v>0</v>
      </c>
      <c r="M21" s="341">
        <f>SUM(J21:L21)</f>
        <v>0</v>
      </c>
      <c r="N21" s="336">
        <v>363</v>
      </c>
      <c r="O21" s="266">
        <f>M21+N21</f>
        <v>363</v>
      </c>
      <c r="P21" s="344"/>
      <c r="Q21" s="343"/>
      <c r="R21" s="342">
        <v>207.3</v>
      </c>
      <c r="S21" s="341">
        <f>SUM(P21:R21)</f>
        <v>207.3</v>
      </c>
      <c r="T21" s="336">
        <v>184.4</v>
      </c>
      <c r="U21" s="266">
        <f>S21+T21</f>
        <v>391.70000000000005</v>
      </c>
      <c r="V21" s="344"/>
      <c r="W21" s="343"/>
      <c r="X21" s="342">
        <v>0</v>
      </c>
      <c r="Y21" s="341">
        <f>SUM(V21:X21)</f>
        <v>0</v>
      </c>
      <c r="Z21" s="336">
        <v>360</v>
      </c>
      <c r="AA21" s="266">
        <f>Y21+Z21</f>
        <v>360</v>
      </c>
      <c r="AB21" s="232">
        <f>(AA21/O21)</f>
        <v>0.99173553719008267</v>
      </c>
      <c r="AC21" s="178"/>
      <c r="AD21" s="178"/>
    </row>
    <row r="22" spans="1:30" x14ac:dyDescent="0.25">
      <c r="A22" s="180"/>
      <c r="B22" s="274" t="s">
        <v>74</v>
      </c>
      <c r="C22" s="273" t="s">
        <v>73</v>
      </c>
      <c r="D22" s="344"/>
      <c r="E22" s="343"/>
      <c r="F22" s="342"/>
      <c r="G22" s="341">
        <f>SUM(D22:F22)</f>
        <v>0</v>
      </c>
      <c r="H22" s="336">
        <v>360</v>
      </c>
      <c r="I22" s="266">
        <f>G22+H22</f>
        <v>360</v>
      </c>
      <c r="J22" s="344"/>
      <c r="K22" s="343"/>
      <c r="L22" s="342">
        <v>0</v>
      </c>
      <c r="M22" s="341">
        <f>SUM(J22:L22)</f>
        <v>0</v>
      </c>
      <c r="N22" s="336">
        <v>363</v>
      </c>
      <c r="O22" s="266">
        <f>M22+N22</f>
        <v>363</v>
      </c>
      <c r="P22" s="344"/>
      <c r="Q22" s="343"/>
      <c r="R22" s="342"/>
      <c r="S22" s="341">
        <f>SUM(P22:R22)</f>
        <v>0</v>
      </c>
      <c r="T22" s="336">
        <v>184.4</v>
      </c>
      <c r="U22" s="266">
        <f>S22+T22</f>
        <v>184.4</v>
      </c>
      <c r="V22" s="344"/>
      <c r="W22" s="343"/>
      <c r="X22" s="342">
        <v>0</v>
      </c>
      <c r="Y22" s="341">
        <f>SUM(V22:X22)</f>
        <v>0</v>
      </c>
      <c r="Z22" s="336">
        <v>360</v>
      </c>
      <c r="AA22" s="266">
        <f>Y22+Z22</f>
        <v>360</v>
      </c>
      <c r="AB22" s="232">
        <f>(AA22/O22)</f>
        <v>0.99173553719008267</v>
      </c>
      <c r="AC22" s="178"/>
      <c r="AD22" s="178"/>
    </row>
    <row r="23" spans="1:30" ht="15.75" thickBot="1" x14ac:dyDescent="0.3">
      <c r="A23" s="180"/>
      <c r="B23" s="335" t="s">
        <v>72</v>
      </c>
      <c r="C23" s="334" t="s">
        <v>71</v>
      </c>
      <c r="D23" s="333"/>
      <c r="E23" s="332"/>
      <c r="F23" s="331"/>
      <c r="G23" s="330">
        <f>SUM(D23:F23)</f>
        <v>0</v>
      </c>
      <c r="H23" s="325">
        <v>0</v>
      </c>
      <c r="I23" s="255">
        <f>G23+H23</f>
        <v>0</v>
      </c>
      <c r="J23" s="333"/>
      <c r="K23" s="332"/>
      <c r="L23" s="331">
        <v>0</v>
      </c>
      <c r="M23" s="330">
        <f>SUM(J23:L23)</f>
        <v>0</v>
      </c>
      <c r="N23" s="325">
        <v>0</v>
      </c>
      <c r="O23" s="255">
        <f>M23+N23</f>
        <v>0</v>
      </c>
      <c r="P23" s="333"/>
      <c r="Q23" s="332"/>
      <c r="R23" s="331"/>
      <c r="S23" s="330">
        <f>SUM(P23:R23)</f>
        <v>0</v>
      </c>
      <c r="T23" s="325"/>
      <c r="U23" s="255">
        <f>S23+T23</f>
        <v>0</v>
      </c>
      <c r="V23" s="333"/>
      <c r="W23" s="332"/>
      <c r="X23" s="331">
        <v>0</v>
      </c>
      <c r="Y23" s="330">
        <f>SUM(V23:X23)</f>
        <v>0</v>
      </c>
      <c r="Z23" s="325">
        <v>0</v>
      </c>
      <c r="AA23" s="255">
        <f>Y23+Z23</f>
        <v>0</v>
      </c>
      <c r="AB23" s="254" t="e">
        <f>(AA23/O23)</f>
        <v>#DIV/0!</v>
      </c>
      <c r="AC23" s="178"/>
      <c r="AD23" s="178"/>
    </row>
    <row r="24" spans="1:30" ht="15.75" thickBot="1" x14ac:dyDescent="0.3">
      <c r="A24" s="180"/>
      <c r="B24" s="253" t="s">
        <v>70</v>
      </c>
      <c r="C24" s="324" t="s">
        <v>69</v>
      </c>
      <c r="D24" s="323">
        <f>SUM(D15:D21)</f>
        <v>4588.8</v>
      </c>
      <c r="E24" s="322">
        <f>SUM(E15:E21)</f>
        <v>41357.699999999997</v>
      </c>
      <c r="F24" s="322">
        <f>SUM(F15:F21)</f>
        <v>499.90000000000003</v>
      </c>
      <c r="G24" s="321">
        <f>SUM(D24:F24)</f>
        <v>46446.400000000001</v>
      </c>
      <c r="H24" s="320">
        <f>SUM(H15:H21)</f>
        <v>499.8</v>
      </c>
      <c r="I24" s="320">
        <f>SUM(I15:I21)</f>
        <v>46946.2</v>
      </c>
      <c r="J24" s="323">
        <f>SUM(J15:J21)</f>
        <v>4292.4000000000005</v>
      </c>
      <c r="K24" s="322">
        <f>SUM(K15:K21)</f>
        <v>45321.2</v>
      </c>
      <c r="L24" s="322">
        <f>SUM(L15:L21)</f>
        <v>550</v>
      </c>
      <c r="M24" s="321">
        <f>SUM(J24:L24)</f>
        <v>50163.6</v>
      </c>
      <c r="N24" s="320">
        <f>SUM(N15:N21)</f>
        <v>563</v>
      </c>
      <c r="O24" s="320">
        <f>SUM(O15:O21)</f>
        <v>50726.6</v>
      </c>
      <c r="P24" s="323">
        <f>SUM(P15:P21)</f>
        <v>2146.2000000000003</v>
      </c>
      <c r="Q24" s="322">
        <f>SUM(Q15:Q21)</f>
        <v>22661</v>
      </c>
      <c r="R24" s="322">
        <f>SUM(R15:R21)</f>
        <v>545.40000000000009</v>
      </c>
      <c r="S24" s="321">
        <f>SUM(P24:R24)</f>
        <v>25352.600000000002</v>
      </c>
      <c r="T24" s="320">
        <f>SUM(T15:T21)</f>
        <v>266.89999999999998</v>
      </c>
      <c r="U24" s="320">
        <f>SUM(U15:U21)</f>
        <v>25619.5</v>
      </c>
      <c r="V24" s="323">
        <f>SUM(V15:V21)</f>
        <v>4430.5</v>
      </c>
      <c r="W24" s="322">
        <f>SUM(W15:W21)</f>
        <v>45322</v>
      </c>
      <c r="X24" s="322">
        <f>SUM(X15:X21)</f>
        <v>654.79999999999995</v>
      </c>
      <c r="Y24" s="321">
        <f>SUM(V24:X24)</f>
        <v>50407.3</v>
      </c>
      <c r="Z24" s="320">
        <f>SUM(Z15:Z21)</f>
        <v>560</v>
      </c>
      <c r="AA24" s="320">
        <f>SUM(AA15:AA21)</f>
        <v>50967.3</v>
      </c>
      <c r="AB24" s="319">
        <f>(AA24/O24)</f>
        <v>1.0047450450059734</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191.3</v>
      </c>
      <c r="E28" s="287">
        <v>0</v>
      </c>
      <c r="F28" s="287">
        <v>22.8</v>
      </c>
      <c r="G28" s="286">
        <f>SUM(D28:F28)</f>
        <v>214.10000000000002</v>
      </c>
      <c r="H28" s="286">
        <v>111.5</v>
      </c>
      <c r="I28" s="285">
        <f>G28+H28</f>
        <v>325.60000000000002</v>
      </c>
      <c r="J28" s="288">
        <v>376</v>
      </c>
      <c r="K28" s="287">
        <v>0</v>
      </c>
      <c r="L28" s="287">
        <v>0</v>
      </c>
      <c r="M28" s="286">
        <f>SUM(J28:L28)</f>
        <v>376</v>
      </c>
      <c r="N28" s="286">
        <v>0</v>
      </c>
      <c r="O28" s="285">
        <f>M28+N28</f>
        <v>376</v>
      </c>
      <c r="P28" s="288">
        <v>83.6</v>
      </c>
      <c r="Q28" s="287">
        <v>0</v>
      </c>
      <c r="R28" s="287">
        <v>0</v>
      </c>
      <c r="S28" s="286">
        <f>SUM(P28:R28)</f>
        <v>83.6</v>
      </c>
      <c r="T28" s="286">
        <v>0</v>
      </c>
      <c r="U28" s="285">
        <f>S28+T28</f>
        <v>83.6</v>
      </c>
      <c r="V28" s="288">
        <v>350</v>
      </c>
      <c r="W28" s="287">
        <v>0</v>
      </c>
      <c r="X28" s="287"/>
      <c r="Y28" s="286">
        <f>SUM(V28:X28)</f>
        <v>350</v>
      </c>
      <c r="Z28" s="286">
        <v>60</v>
      </c>
      <c r="AA28" s="285">
        <f>Y28+Z28</f>
        <v>410</v>
      </c>
      <c r="AB28" s="232">
        <f>(AA28/O28)</f>
        <v>1.0904255319148937</v>
      </c>
      <c r="AC28" s="178"/>
      <c r="AD28" s="178"/>
    </row>
    <row r="29" spans="1:30" x14ac:dyDescent="0.25">
      <c r="A29" s="180"/>
      <c r="B29" s="274" t="s">
        <v>56</v>
      </c>
      <c r="C29" s="284" t="s">
        <v>55</v>
      </c>
      <c r="D29" s="282">
        <v>603.5</v>
      </c>
      <c r="E29" s="282">
        <v>134</v>
      </c>
      <c r="F29" s="282">
        <v>265.60000000000002</v>
      </c>
      <c r="G29" s="263">
        <f>SUM(D29:F29)</f>
        <v>1003.1</v>
      </c>
      <c r="H29" s="281">
        <v>64.900000000000006</v>
      </c>
      <c r="I29" s="266">
        <f>G29+H29</f>
        <v>1068</v>
      </c>
      <c r="J29" s="283">
        <v>656.4</v>
      </c>
      <c r="K29" s="282">
        <v>100</v>
      </c>
      <c r="L29" s="282">
        <v>400</v>
      </c>
      <c r="M29" s="263">
        <f>SUM(J29:L29)</f>
        <v>1156.4000000000001</v>
      </c>
      <c r="N29" s="281">
        <v>400</v>
      </c>
      <c r="O29" s="266">
        <f>M29+N29</f>
        <v>1556.4</v>
      </c>
      <c r="P29" s="283">
        <v>179.2</v>
      </c>
      <c r="Q29" s="282">
        <v>34.6</v>
      </c>
      <c r="R29" s="282">
        <v>325.7</v>
      </c>
      <c r="S29" s="263">
        <f>SUM(P29:R29)</f>
        <v>539.5</v>
      </c>
      <c r="T29" s="281">
        <v>39.9</v>
      </c>
      <c r="U29" s="266">
        <f>S29+T29</f>
        <v>579.4</v>
      </c>
      <c r="V29" s="283">
        <v>478</v>
      </c>
      <c r="W29" s="282">
        <v>100</v>
      </c>
      <c r="X29" s="282">
        <v>400</v>
      </c>
      <c r="Y29" s="263">
        <f>SUM(V29:X29)</f>
        <v>978</v>
      </c>
      <c r="Z29" s="281">
        <v>300</v>
      </c>
      <c r="AA29" s="266">
        <f>Y29+Z29</f>
        <v>1278</v>
      </c>
      <c r="AB29" s="232">
        <f>(AA29/O29)</f>
        <v>0.82112567463377018</v>
      </c>
      <c r="AC29" s="178"/>
      <c r="AD29" s="178"/>
    </row>
    <row r="30" spans="1:30" x14ac:dyDescent="0.25">
      <c r="A30" s="180"/>
      <c r="B30" s="274" t="s">
        <v>54</v>
      </c>
      <c r="C30" s="273" t="s">
        <v>53</v>
      </c>
      <c r="D30" s="267">
        <v>1206.0999999999999</v>
      </c>
      <c r="E30" s="267">
        <v>0</v>
      </c>
      <c r="F30" s="267">
        <v>0</v>
      </c>
      <c r="G30" s="263">
        <f>SUM(D30:F30)</f>
        <v>1206.0999999999999</v>
      </c>
      <c r="H30" s="263">
        <v>152.6</v>
      </c>
      <c r="I30" s="266">
        <f>G30+H30</f>
        <v>1358.6999999999998</v>
      </c>
      <c r="J30" s="268">
        <v>1336</v>
      </c>
      <c r="K30" s="267">
        <v>0</v>
      </c>
      <c r="L30" s="267">
        <v>0</v>
      </c>
      <c r="M30" s="263">
        <f>SUM(J30:L30)</f>
        <v>1336</v>
      </c>
      <c r="N30" s="263">
        <v>113</v>
      </c>
      <c r="O30" s="266">
        <f>M30+N30</f>
        <v>1449</v>
      </c>
      <c r="P30" s="268">
        <v>993.9</v>
      </c>
      <c r="Q30" s="267">
        <v>0</v>
      </c>
      <c r="R30" s="267">
        <v>0</v>
      </c>
      <c r="S30" s="263">
        <f>SUM(P30:R30)</f>
        <v>993.9</v>
      </c>
      <c r="T30" s="263">
        <v>0</v>
      </c>
      <c r="U30" s="266">
        <f>S30+T30</f>
        <v>993.9</v>
      </c>
      <c r="V30" s="268">
        <v>1725</v>
      </c>
      <c r="W30" s="267">
        <v>0</v>
      </c>
      <c r="X30" s="267"/>
      <c r="Y30" s="263">
        <f>SUM(V30:X30)</f>
        <v>1725</v>
      </c>
      <c r="Z30" s="263">
        <v>150</v>
      </c>
      <c r="AA30" s="266">
        <f>Y30+Z30</f>
        <v>1875</v>
      </c>
      <c r="AB30" s="232">
        <f>(AA30/O30)</f>
        <v>1.2939958592132506</v>
      </c>
      <c r="AC30" s="178"/>
      <c r="AD30" s="178"/>
    </row>
    <row r="31" spans="1:30" x14ac:dyDescent="0.25">
      <c r="A31" s="180"/>
      <c r="B31" s="274" t="s">
        <v>51</v>
      </c>
      <c r="C31" s="273" t="s">
        <v>50</v>
      </c>
      <c r="D31" s="267">
        <v>861.6</v>
      </c>
      <c r="E31" s="267">
        <v>70.099999999999994</v>
      </c>
      <c r="F31" s="267">
        <v>0</v>
      </c>
      <c r="G31" s="263">
        <f>SUM(D31:F31)</f>
        <v>931.7</v>
      </c>
      <c r="H31" s="263">
        <v>31.4</v>
      </c>
      <c r="I31" s="266">
        <f>G31+H31</f>
        <v>963.1</v>
      </c>
      <c r="J31" s="268">
        <v>712.2</v>
      </c>
      <c r="K31" s="267">
        <v>40</v>
      </c>
      <c r="L31" s="267">
        <v>0</v>
      </c>
      <c r="M31" s="263">
        <f>SUM(J31:L31)</f>
        <v>752.2</v>
      </c>
      <c r="N31" s="263">
        <v>0</v>
      </c>
      <c r="O31" s="266">
        <f>M31+N31</f>
        <v>752.2</v>
      </c>
      <c r="P31" s="268">
        <v>370.5</v>
      </c>
      <c r="Q31" s="267">
        <v>0</v>
      </c>
      <c r="R31" s="267">
        <v>0</v>
      </c>
      <c r="S31" s="263">
        <f>SUM(P31:R31)</f>
        <v>370.5</v>
      </c>
      <c r="T31" s="263">
        <v>0</v>
      </c>
      <c r="U31" s="266">
        <f>S31+T31</f>
        <v>370.5</v>
      </c>
      <c r="V31" s="268">
        <v>753.2</v>
      </c>
      <c r="W31" s="267">
        <v>40</v>
      </c>
      <c r="X31" s="267"/>
      <c r="Y31" s="263">
        <f>SUM(V31:X31)</f>
        <v>793.2</v>
      </c>
      <c r="Z31" s="263">
        <v>0</v>
      </c>
      <c r="AA31" s="266">
        <f>Y31+Z31</f>
        <v>793.2</v>
      </c>
      <c r="AB31" s="232">
        <f>(AA31/O31)</f>
        <v>1.0545067801116723</v>
      </c>
      <c r="AC31" s="178"/>
      <c r="AD31" s="178"/>
    </row>
    <row r="32" spans="1:30" x14ac:dyDescent="0.25">
      <c r="A32" s="180"/>
      <c r="B32" s="274" t="s">
        <v>49</v>
      </c>
      <c r="C32" s="273" t="s">
        <v>48</v>
      </c>
      <c r="D32" s="277">
        <v>81.8</v>
      </c>
      <c r="E32" s="267">
        <v>29835.3</v>
      </c>
      <c r="F32" s="267">
        <v>84.2</v>
      </c>
      <c r="G32" s="263">
        <f>SUM(D32:F32)</f>
        <v>30001.3</v>
      </c>
      <c r="H32" s="263">
        <v>44.7</v>
      </c>
      <c r="I32" s="266">
        <f>G32+H32</f>
        <v>30046</v>
      </c>
      <c r="J32" s="275">
        <v>93.8</v>
      </c>
      <c r="K32" s="267">
        <v>32714.2</v>
      </c>
      <c r="L32" s="267">
        <v>150</v>
      </c>
      <c r="M32" s="263">
        <f>SUM(J32:L32)</f>
        <v>32958</v>
      </c>
      <c r="N32" s="263">
        <v>50</v>
      </c>
      <c r="O32" s="266">
        <f>M32+N32</f>
        <v>33008</v>
      </c>
      <c r="P32" s="275">
        <v>0</v>
      </c>
      <c r="Q32" s="267">
        <v>15611.4</v>
      </c>
      <c r="R32" s="267">
        <v>0</v>
      </c>
      <c r="S32" s="263">
        <f>SUM(P32:R32)</f>
        <v>15611.4</v>
      </c>
      <c r="T32" s="263">
        <v>0</v>
      </c>
      <c r="U32" s="266">
        <f>S32+T32</f>
        <v>15611.4</v>
      </c>
      <c r="V32" s="275">
        <v>62.1</v>
      </c>
      <c r="W32" s="267">
        <v>32714.2</v>
      </c>
      <c r="X32" s="267"/>
      <c r="Y32" s="263">
        <f>SUM(V32:X32)</f>
        <v>32776.300000000003</v>
      </c>
      <c r="Z32" s="263">
        <v>50</v>
      </c>
      <c r="AA32" s="266">
        <f>Y32+Z32</f>
        <v>32826.300000000003</v>
      </c>
      <c r="AB32" s="232">
        <f>(AA32/O32)</f>
        <v>0.99449527387300052</v>
      </c>
      <c r="AC32" s="178"/>
      <c r="AD32" s="178"/>
    </row>
    <row r="33" spans="1:30" x14ac:dyDescent="0.25">
      <c r="A33" s="180"/>
      <c r="B33" s="274" t="s">
        <v>47</v>
      </c>
      <c r="C33" s="280" t="s">
        <v>46</v>
      </c>
      <c r="D33" s="277">
        <v>81.8</v>
      </c>
      <c r="E33" s="267">
        <v>29705.200000000001</v>
      </c>
      <c r="F33" s="267">
        <v>84.2</v>
      </c>
      <c r="G33" s="263">
        <f>SUM(D33:F33)</f>
        <v>29871.200000000001</v>
      </c>
      <c r="H33" s="263">
        <v>44.7</v>
      </c>
      <c r="I33" s="266">
        <f>G33+H33</f>
        <v>29915.9</v>
      </c>
      <c r="J33" s="275">
        <v>93.8</v>
      </c>
      <c r="K33" s="267">
        <v>32714.2</v>
      </c>
      <c r="L33" s="267">
        <v>150</v>
      </c>
      <c r="M33" s="263">
        <f>SUM(J33:L33)</f>
        <v>32958</v>
      </c>
      <c r="N33" s="263">
        <v>50</v>
      </c>
      <c r="O33" s="266">
        <f>M33+N33</f>
        <v>33008</v>
      </c>
      <c r="P33" s="275">
        <v>0</v>
      </c>
      <c r="Q33" s="267">
        <v>15611.4</v>
      </c>
      <c r="R33" s="267">
        <v>0</v>
      </c>
      <c r="S33" s="263">
        <f>SUM(P33:R33)</f>
        <v>15611.4</v>
      </c>
      <c r="T33" s="263">
        <v>0</v>
      </c>
      <c r="U33" s="266">
        <f>S33+T33</f>
        <v>15611.4</v>
      </c>
      <c r="V33" s="275">
        <v>62.1</v>
      </c>
      <c r="W33" s="267">
        <v>32714.2</v>
      </c>
      <c r="X33" s="267"/>
      <c r="Y33" s="263">
        <f>SUM(V33:X33)</f>
        <v>32776.300000000003</v>
      </c>
      <c r="Z33" s="263">
        <v>50</v>
      </c>
      <c r="AA33" s="266">
        <f>Y33+Z33</f>
        <v>32826.300000000003</v>
      </c>
      <c r="AB33" s="232">
        <f>(AA33/O33)</f>
        <v>0.99449527387300052</v>
      </c>
      <c r="AC33" s="178"/>
      <c r="AD33" s="178"/>
    </row>
    <row r="34" spans="1:30" x14ac:dyDescent="0.25">
      <c r="A34" s="180"/>
      <c r="B34" s="274" t="s">
        <v>45</v>
      </c>
      <c r="C34" s="278" t="s">
        <v>44</v>
      </c>
      <c r="D34" s="277">
        <v>0</v>
      </c>
      <c r="E34" s="267">
        <v>130.1</v>
      </c>
      <c r="F34" s="267">
        <v>0</v>
      </c>
      <c r="G34" s="263">
        <f>SUM(D34:F34)</f>
        <v>130.1</v>
      </c>
      <c r="H34" s="263">
        <v>0</v>
      </c>
      <c r="I34" s="266">
        <f>G34+H34</f>
        <v>130.1</v>
      </c>
      <c r="J34" s="275">
        <v>0</v>
      </c>
      <c r="K34" s="267">
        <v>0</v>
      </c>
      <c r="L34" s="267">
        <v>0</v>
      </c>
      <c r="M34" s="263">
        <f>SUM(J34:L34)</f>
        <v>0</v>
      </c>
      <c r="N34" s="263">
        <v>0</v>
      </c>
      <c r="O34" s="266">
        <f>M34+N34</f>
        <v>0</v>
      </c>
      <c r="P34" s="275">
        <v>0</v>
      </c>
      <c r="Q34" s="267">
        <v>0</v>
      </c>
      <c r="R34" s="267">
        <v>0</v>
      </c>
      <c r="S34" s="263">
        <f>SUM(P34:R34)</f>
        <v>0</v>
      </c>
      <c r="T34" s="263">
        <v>0</v>
      </c>
      <c r="U34" s="266">
        <f>S34+T34</f>
        <v>0</v>
      </c>
      <c r="V34" s="275">
        <v>0</v>
      </c>
      <c r="W34" s="267">
        <v>0</v>
      </c>
      <c r="X34" s="267"/>
      <c r="Y34" s="263">
        <f>SUM(V34:X34)</f>
        <v>0</v>
      </c>
      <c r="Z34" s="263">
        <v>0</v>
      </c>
      <c r="AA34" s="266">
        <f>Y34+Z34</f>
        <v>0</v>
      </c>
      <c r="AB34" s="232" t="e">
        <f>(AA34/O34)</f>
        <v>#DIV/0!</v>
      </c>
      <c r="AC34" s="178"/>
      <c r="AD34" s="178"/>
    </row>
    <row r="35" spans="1:30" x14ac:dyDescent="0.25">
      <c r="A35" s="180"/>
      <c r="B35" s="274" t="s">
        <v>43</v>
      </c>
      <c r="C35" s="273" t="s">
        <v>42</v>
      </c>
      <c r="D35" s="277">
        <v>56.1</v>
      </c>
      <c r="E35" s="267">
        <v>9961.4</v>
      </c>
      <c r="F35" s="267">
        <v>0</v>
      </c>
      <c r="G35" s="263">
        <f>SUM(D35:F35)</f>
        <v>10017.5</v>
      </c>
      <c r="H35" s="263">
        <v>15.1</v>
      </c>
      <c r="I35" s="266">
        <f>G35+H35</f>
        <v>10032.6</v>
      </c>
      <c r="J35" s="275">
        <v>71.7</v>
      </c>
      <c r="K35" s="267">
        <v>11057.4</v>
      </c>
      <c r="L35" s="267">
        <v>0</v>
      </c>
      <c r="M35" s="263">
        <f>SUM(J35:L35)</f>
        <v>11129.1</v>
      </c>
      <c r="N35" s="263">
        <v>0</v>
      </c>
      <c r="O35" s="266">
        <f>M35+N35</f>
        <v>11129.1</v>
      </c>
      <c r="P35" s="275">
        <v>0</v>
      </c>
      <c r="Q35" s="267">
        <v>5127.1000000000004</v>
      </c>
      <c r="R35" s="267">
        <v>0</v>
      </c>
      <c r="S35" s="263">
        <f>SUM(P35:R35)</f>
        <v>5127.1000000000004</v>
      </c>
      <c r="T35" s="263">
        <v>0</v>
      </c>
      <c r="U35" s="266">
        <f>S35+T35</f>
        <v>5127.1000000000004</v>
      </c>
      <c r="V35" s="279">
        <v>21</v>
      </c>
      <c r="W35" s="267">
        <v>11057.4</v>
      </c>
      <c r="X35" s="267"/>
      <c r="Y35" s="263">
        <f>SUM(V35:X35)</f>
        <v>11078.4</v>
      </c>
      <c r="Z35" s="263">
        <v>0</v>
      </c>
      <c r="AA35" s="266">
        <f>Y35+Z35</f>
        <v>11078.4</v>
      </c>
      <c r="AB35" s="232">
        <f>(AA35/O35)</f>
        <v>0.99544437555597476</v>
      </c>
      <c r="AC35" s="178"/>
      <c r="AD35" s="178"/>
    </row>
    <row r="36" spans="1:30" x14ac:dyDescent="0.25">
      <c r="A36" s="180"/>
      <c r="B36" s="274" t="s">
        <v>41</v>
      </c>
      <c r="C36" s="273" t="s">
        <v>40</v>
      </c>
      <c r="D36" s="267">
        <v>0</v>
      </c>
      <c r="E36" s="267">
        <v>0</v>
      </c>
      <c r="F36" s="267">
        <v>0</v>
      </c>
      <c r="G36" s="263">
        <f>SUM(D36:F36)</f>
        <v>0</v>
      </c>
      <c r="H36" s="263">
        <v>0</v>
      </c>
      <c r="I36" s="266">
        <f>G36+H36</f>
        <v>0</v>
      </c>
      <c r="J36" s="268">
        <v>0</v>
      </c>
      <c r="K36" s="267">
        <v>0</v>
      </c>
      <c r="L36" s="267">
        <v>0</v>
      </c>
      <c r="M36" s="263">
        <f>SUM(J36:L36)</f>
        <v>0</v>
      </c>
      <c r="N36" s="263">
        <v>0</v>
      </c>
      <c r="O36" s="266">
        <f>M36+N36</f>
        <v>0</v>
      </c>
      <c r="P36" s="268">
        <v>0</v>
      </c>
      <c r="Q36" s="267">
        <v>0</v>
      </c>
      <c r="R36" s="267">
        <v>0</v>
      </c>
      <c r="S36" s="263">
        <f>SUM(P36:R36)</f>
        <v>0</v>
      </c>
      <c r="T36" s="263">
        <v>0</v>
      </c>
      <c r="U36" s="266">
        <f>S36+T36</f>
        <v>0</v>
      </c>
      <c r="V36" s="268">
        <v>0</v>
      </c>
      <c r="W36" s="267">
        <v>0</v>
      </c>
      <c r="X36" s="267"/>
      <c r="Y36" s="263">
        <f>SUM(V36:X36)</f>
        <v>0</v>
      </c>
      <c r="Z36" s="263">
        <v>0</v>
      </c>
      <c r="AA36" s="266">
        <f>Y36+Z36</f>
        <v>0</v>
      </c>
      <c r="AB36" s="232" t="e">
        <f>(AA36/O36)</f>
        <v>#DIV/0!</v>
      </c>
      <c r="AC36" s="178"/>
      <c r="AD36" s="178"/>
    </row>
    <row r="37" spans="1:30" x14ac:dyDescent="0.25">
      <c r="A37" s="180"/>
      <c r="B37" s="274" t="s">
        <v>39</v>
      </c>
      <c r="C37" s="273" t="s">
        <v>38</v>
      </c>
      <c r="D37" s="267">
        <v>749</v>
      </c>
      <c r="E37" s="267">
        <v>0</v>
      </c>
      <c r="F37" s="267">
        <v>0</v>
      </c>
      <c r="G37" s="263">
        <f>SUM(D37:F37)</f>
        <v>749</v>
      </c>
      <c r="H37" s="263">
        <v>0</v>
      </c>
      <c r="I37" s="266">
        <f>G37+H37</f>
        <v>749</v>
      </c>
      <c r="J37" s="268">
        <v>869.4</v>
      </c>
      <c r="K37" s="267">
        <v>0</v>
      </c>
      <c r="L37" s="267">
        <v>0</v>
      </c>
      <c r="M37" s="263">
        <f>SUM(J37:L37)</f>
        <v>869.4</v>
      </c>
      <c r="N37" s="263">
        <v>0</v>
      </c>
      <c r="O37" s="266">
        <f>M37+N37</f>
        <v>869.4</v>
      </c>
      <c r="P37" s="268">
        <v>434.7</v>
      </c>
      <c r="Q37" s="267">
        <v>0</v>
      </c>
      <c r="R37" s="267">
        <v>0</v>
      </c>
      <c r="S37" s="263">
        <f>SUM(P37:R37)</f>
        <v>434.7</v>
      </c>
      <c r="T37" s="263">
        <v>0</v>
      </c>
      <c r="U37" s="266">
        <f>S37+T37</f>
        <v>434.7</v>
      </c>
      <c r="V37" s="268">
        <v>858.7</v>
      </c>
      <c r="W37" s="267"/>
      <c r="X37" s="267"/>
      <c r="Y37" s="263">
        <f>SUM(V37:X37)</f>
        <v>858.7</v>
      </c>
      <c r="Z37" s="263">
        <v>0</v>
      </c>
      <c r="AA37" s="266">
        <f>Y37+Z37</f>
        <v>858.7</v>
      </c>
      <c r="AB37" s="232">
        <f>(AA37/O37)</f>
        <v>0.98769266160570512</v>
      </c>
      <c r="AC37" s="178"/>
      <c r="AD37" s="178"/>
    </row>
    <row r="38" spans="1:30" ht="15.75" thickBot="1" x14ac:dyDescent="0.3">
      <c r="A38" s="180"/>
      <c r="B38" s="265" t="s">
        <v>37</v>
      </c>
      <c r="C38" s="264" t="s">
        <v>36</v>
      </c>
      <c r="D38" s="257">
        <v>749</v>
      </c>
      <c r="E38" s="257">
        <v>1356.8</v>
      </c>
      <c r="F38" s="257">
        <v>126.2</v>
      </c>
      <c r="G38" s="263">
        <f>SUM(D38:F38)</f>
        <v>2232</v>
      </c>
      <c r="H38" s="256">
        <v>0.9</v>
      </c>
      <c r="I38" s="255">
        <f>G38+H38</f>
        <v>2232.9</v>
      </c>
      <c r="J38" s="258">
        <v>176.9</v>
      </c>
      <c r="K38" s="257">
        <v>1409.6</v>
      </c>
      <c r="L38" s="257">
        <v>0</v>
      </c>
      <c r="M38" s="256">
        <f>SUM(J38:L38)</f>
        <v>1586.5</v>
      </c>
      <c r="N38" s="256">
        <v>0</v>
      </c>
      <c r="O38" s="255">
        <f>M38+N38</f>
        <v>1586.5</v>
      </c>
      <c r="P38" s="258">
        <v>272.5</v>
      </c>
      <c r="Q38" s="257">
        <v>397</v>
      </c>
      <c r="R38" s="257">
        <v>181.8</v>
      </c>
      <c r="S38" s="256">
        <f>SUM(P38:R38)</f>
        <v>851.3</v>
      </c>
      <c r="T38" s="256">
        <v>0</v>
      </c>
      <c r="U38" s="255">
        <f>S38+T38</f>
        <v>851.3</v>
      </c>
      <c r="V38" s="258">
        <v>182.5</v>
      </c>
      <c r="W38" s="257">
        <v>1410.4</v>
      </c>
      <c r="X38" s="257">
        <v>254.8</v>
      </c>
      <c r="Y38" s="256">
        <f>SUM(V38:X38)</f>
        <v>1847.7</v>
      </c>
      <c r="Z38" s="256">
        <v>0</v>
      </c>
      <c r="AA38" s="255">
        <f>Y38+Z38</f>
        <v>1847.7</v>
      </c>
      <c r="AB38" s="254">
        <f>(AA38/O38)</f>
        <v>1.1646391427670975</v>
      </c>
      <c r="AC38" s="178"/>
      <c r="AD38" s="178"/>
    </row>
    <row r="39" spans="1:30" ht="15.75" thickBot="1" x14ac:dyDescent="0.3">
      <c r="A39" s="180"/>
      <c r="B39" s="253" t="s">
        <v>35</v>
      </c>
      <c r="C39" s="252" t="s">
        <v>34</v>
      </c>
      <c r="D39" s="251">
        <f>SUM(D35:D38)+SUM(D28:D32)</f>
        <v>4498.3999999999996</v>
      </c>
      <c r="E39" s="251">
        <f>SUM(E35:E38)+SUM(E28:E32)</f>
        <v>41357.599999999999</v>
      </c>
      <c r="F39" s="251">
        <f>SUM(F35:F38)+SUM(F28:F32)</f>
        <v>498.8</v>
      </c>
      <c r="G39" s="250">
        <f>SUM(D39:F39)</f>
        <v>46354.8</v>
      </c>
      <c r="H39" s="249">
        <f>SUM(H28:H32)+SUM(H35:H38)</f>
        <v>421.09999999999997</v>
      </c>
      <c r="I39" s="248">
        <f>SUM(I35:I38)+SUM(I28:I32)</f>
        <v>46775.9</v>
      </c>
      <c r="J39" s="251">
        <f>SUM(J35:J38)+SUM(J28:J32)</f>
        <v>4292.4000000000005</v>
      </c>
      <c r="K39" s="251">
        <f>SUM(K35:K38)+SUM(K28:K32)</f>
        <v>45321.2</v>
      </c>
      <c r="L39" s="251">
        <f>SUM(L35:L38)+SUM(L28:L32)</f>
        <v>550</v>
      </c>
      <c r="M39" s="250">
        <f>SUM(J39:L39)</f>
        <v>50163.6</v>
      </c>
      <c r="N39" s="249">
        <f>SUM(N28:N32)+SUM(N35:N38)</f>
        <v>563</v>
      </c>
      <c r="O39" s="248">
        <f>SUM(O35:O38)+SUM(O28:O32)</f>
        <v>50726.6</v>
      </c>
      <c r="P39" s="251">
        <f>SUM(P35:P38)+SUM(P28:P32)</f>
        <v>2334.3999999999996</v>
      </c>
      <c r="Q39" s="251">
        <f>SUM(Q35:Q38)+SUM(Q28:Q32)</f>
        <v>21170.1</v>
      </c>
      <c r="R39" s="251">
        <f>SUM(R35:R38)+SUM(R28:R32)</f>
        <v>507.5</v>
      </c>
      <c r="S39" s="250">
        <f>SUM(P39:R39)</f>
        <v>24012</v>
      </c>
      <c r="T39" s="249">
        <f>SUM(T28:T32)+SUM(T35:T38)</f>
        <v>39.9</v>
      </c>
      <c r="U39" s="248">
        <f>SUM(U35:U38)+SUM(U28:U32)</f>
        <v>24051.9</v>
      </c>
      <c r="V39" s="251">
        <f>SUM(V35:V38)+SUM(V28:V32)</f>
        <v>4430.5</v>
      </c>
      <c r="W39" s="251">
        <f>SUM(W35:W38)+SUM(W28:W32)</f>
        <v>45322</v>
      </c>
      <c r="X39" s="251">
        <f>SUM(X35:X38)+SUM(X28:X32)</f>
        <v>654.79999999999995</v>
      </c>
      <c r="Y39" s="250">
        <f>SUM(V39:X39)</f>
        <v>50407.3</v>
      </c>
      <c r="Z39" s="249">
        <f>SUM(Z28:Z32)+SUM(Z35:Z38)</f>
        <v>560</v>
      </c>
      <c r="AA39" s="248">
        <f>SUM(AA35:AA38)+SUM(AA28:AA32)</f>
        <v>50967.3</v>
      </c>
      <c r="AB39" s="247">
        <f>(AA39/O39)</f>
        <v>1.0047450450059734</v>
      </c>
      <c r="AC39" s="178"/>
      <c r="AD39" s="178"/>
    </row>
    <row r="40" spans="1:30" ht="19.5" thickBot="1" x14ac:dyDescent="0.35">
      <c r="A40" s="180"/>
      <c r="B40" s="246" t="s">
        <v>33</v>
      </c>
      <c r="C40" s="245" t="s">
        <v>32</v>
      </c>
      <c r="D40" s="244">
        <f>D24-D39</f>
        <v>90.400000000000546</v>
      </c>
      <c r="E40" s="244">
        <f>E24-E39</f>
        <v>9.9999999998544808E-2</v>
      </c>
      <c r="F40" s="244">
        <f>F24-F39</f>
        <v>1.1000000000000227</v>
      </c>
      <c r="G40" s="243">
        <f>G24-G39</f>
        <v>91.599999999998545</v>
      </c>
      <c r="H40" s="243">
        <f>H24-H39</f>
        <v>78.700000000000045</v>
      </c>
      <c r="I40" s="242">
        <f>I24-I39</f>
        <v>170.29999999999563</v>
      </c>
      <c r="J40" s="244">
        <f>J24-J39</f>
        <v>0</v>
      </c>
      <c r="K40" s="244">
        <f>K24-K39</f>
        <v>0</v>
      </c>
      <c r="L40" s="244">
        <f>L24-L39</f>
        <v>0</v>
      </c>
      <c r="M40" s="243">
        <f>M24-M39</f>
        <v>0</v>
      </c>
      <c r="N40" s="243">
        <f>N24-N39</f>
        <v>0</v>
      </c>
      <c r="O40" s="242">
        <f>O24-O39</f>
        <v>0</v>
      </c>
      <c r="P40" s="244">
        <f>P24-P39</f>
        <v>-188.19999999999936</v>
      </c>
      <c r="Q40" s="244">
        <f>Q24-Q39</f>
        <v>1490.9000000000015</v>
      </c>
      <c r="R40" s="244">
        <f>R24-R39</f>
        <v>37.900000000000091</v>
      </c>
      <c r="S40" s="243">
        <f>S24-S39</f>
        <v>1340.6000000000022</v>
      </c>
      <c r="T40" s="243">
        <f>T24-T39</f>
        <v>226.99999999999997</v>
      </c>
      <c r="U40" s="242">
        <f>U24-U39</f>
        <v>1567.5999999999985</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-4278.9000000000042</v>
      </c>
      <c r="J41" s="237"/>
      <c r="K41" s="236"/>
      <c r="L41" s="236"/>
      <c r="M41" s="235"/>
      <c r="N41" s="234"/>
      <c r="O41" s="233">
        <f>O40-J16</f>
        <v>-4114.8</v>
      </c>
      <c r="P41" s="237"/>
      <c r="Q41" s="236"/>
      <c r="R41" s="236"/>
      <c r="S41" s="235"/>
      <c r="T41" s="234"/>
      <c r="U41" s="233">
        <f>U40-P16</f>
        <v>-489.80000000000155</v>
      </c>
      <c r="V41" s="237"/>
      <c r="W41" s="236"/>
      <c r="X41" s="236"/>
      <c r="Y41" s="235"/>
      <c r="Z41" s="234"/>
      <c r="AA41" s="233">
        <f>AA40-V16</f>
        <v>-4275</v>
      </c>
      <c r="AB41" s="232">
        <f>(AA41/O41)</f>
        <v>1.0389326334208224</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608.4</v>
      </c>
      <c r="E44" s="225">
        <v>608.4</v>
      </c>
      <c r="F44" s="224">
        <v>0</v>
      </c>
      <c r="G44" s="202"/>
      <c r="H44" s="202"/>
      <c r="I44" s="201"/>
      <c r="J44" s="214">
        <v>603.9</v>
      </c>
      <c r="K44" s="225">
        <v>603.9</v>
      </c>
      <c r="L44" s="224">
        <v>0</v>
      </c>
      <c r="M44" s="223"/>
      <c r="N44" s="223"/>
      <c r="O44" s="223"/>
      <c r="P44" s="214">
        <v>302</v>
      </c>
      <c r="Q44" s="225">
        <v>302</v>
      </c>
      <c r="R44" s="224">
        <v>0</v>
      </c>
      <c r="S44" s="178"/>
      <c r="T44" s="178"/>
      <c r="U44" s="178"/>
      <c r="V44" s="214">
        <v>603.9</v>
      </c>
      <c r="W44" s="225">
        <v>603.9</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19</v>
      </c>
      <c r="K49" s="207" t="s">
        <v>18</v>
      </c>
      <c r="L49" s="207" t="s">
        <v>17</v>
      </c>
      <c r="M49" s="207" t="s">
        <v>16</v>
      </c>
      <c r="N49" s="178"/>
      <c r="O49" s="178"/>
      <c r="P49" s="207" t="s">
        <v>20</v>
      </c>
      <c r="Q49" s="207" t="s">
        <v>18</v>
      </c>
      <c r="R49" s="207" t="s">
        <v>17</v>
      </c>
      <c r="S49" s="207" t="s">
        <v>8</v>
      </c>
      <c r="T49" s="178"/>
      <c r="U49" s="178"/>
      <c r="V49" s="207" t="s">
        <v>19</v>
      </c>
      <c r="W49" s="207" t="s">
        <v>18</v>
      </c>
      <c r="X49" s="207" t="s">
        <v>17</v>
      </c>
      <c r="Y49" s="207" t="s">
        <v>16</v>
      </c>
      <c r="Z49" s="178"/>
      <c r="AA49" s="178"/>
      <c r="AB49" s="178"/>
      <c r="AC49" s="178"/>
      <c r="AD49" s="178"/>
    </row>
    <row r="50" spans="1:30" x14ac:dyDescent="0.25">
      <c r="A50" s="180"/>
      <c r="B50" s="204"/>
      <c r="C50" s="206" t="s">
        <v>112</v>
      </c>
      <c r="D50" s="210">
        <f>SUM(D51:D54)</f>
        <v>2858.7</v>
      </c>
      <c r="E50" s="210">
        <f>SUM(E51:E54)</f>
        <v>1548.1</v>
      </c>
      <c r="F50" s="210">
        <f>SUM(F51:F54)</f>
        <v>1466.3</v>
      </c>
      <c r="G50" s="209">
        <f>D50+E50-F50</f>
        <v>2940.4999999999991</v>
      </c>
      <c r="H50" s="202"/>
      <c r="I50" s="178"/>
      <c r="J50" s="210">
        <f>SUM(J51:J54)</f>
        <v>1526.9</v>
      </c>
      <c r="K50" s="210">
        <f>SUM(K51:K54)</f>
        <v>1606.4</v>
      </c>
      <c r="L50" s="210">
        <f>SUM(L51:L54)</f>
        <v>3133.3</v>
      </c>
      <c r="M50" s="209">
        <f>J50+K50-L50</f>
        <v>0</v>
      </c>
      <c r="N50" s="178"/>
      <c r="O50" s="178"/>
      <c r="P50" s="210">
        <f>SUM(P51:P54)</f>
        <v>2940.5000000000005</v>
      </c>
      <c r="Q50" s="210">
        <f>SUM(Q51:Q54)</f>
        <v>1079.2</v>
      </c>
      <c r="R50" s="210">
        <f>SUM(R51:R54)</f>
        <v>1627.8</v>
      </c>
      <c r="S50" s="209">
        <f>P50+Q50-R50</f>
        <v>2391.9000000000005</v>
      </c>
      <c r="T50" s="178"/>
      <c r="U50" s="178"/>
      <c r="V50" s="210">
        <f>SUM(V51:V54)</f>
        <v>0</v>
      </c>
      <c r="W50" s="210">
        <f>SUM(W51:W54)</f>
        <v>1516.3000000000002</v>
      </c>
      <c r="X50" s="210">
        <f>SUM(X51:X54)</f>
        <v>1516.3000000000002</v>
      </c>
      <c r="Y50" s="210">
        <f>SUM(Y51:Y54)</f>
        <v>0</v>
      </c>
      <c r="Z50" s="178"/>
      <c r="AA50" s="178"/>
      <c r="AB50" s="178"/>
      <c r="AC50" s="178"/>
      <c r="AD50" s="178"/>
    </row>
    <row r="51" spans="1:30" x14ac:dyDescent="0.25">
      <c r="A51" s="180"/>
      <c r="B51" s="204"/>
      <c r="C51" s="206" t="s">
        <v>15</v>
      </c>
      <c r="D51" s="210">
        <v>1695.1</v>
      </c>
      <c r="E51" s="210">
        <v>140.80000000000001</v>
      </c>
      <c r="F51" s="210">
        <v>303.2</v>
      </c>
      <c r="G51" s="209">
        <f>D51+E51-F51</f>
        <v>1532.6999999999998</v>
      </c>
      <c r="H51" s="202"/>
      <c r="I51" s="178"/>
      <c r="J51" s="210">
        <v>837.8</v>
      </c>
      <c r="K51" s="210">
        <v>193</v>
      </c>
      <c r="L51" s="210">
        <v>1030.8</v>
      </c>
      <c r="M51" s="209">
        <f>J51+K51-L51</f>
        <v>0</v>
      </c>
      <c r="N51" s="178"/>
      <c r="O51" s="178"/>
      <c r="P51" s="210">
        <v>1532.7</v>
      </c>
      <c r="Q51" s="210">
        <v>299.3</v>
      </c>
      <c r="R51" s="210">
        <v>1109.8</v>
      </c>
      <c r="S51" s="209">
        <f>P51+Q51-R51</f>
        <v>722.2</v>
      </c>
      <c r="T51" s="178"/>
      <c r="U51" s="178"/>
      <c r="V51" s="210">
        <v>0</v>
      </c>
      <c r="W51" s="210">
        <v>0</v>
      </c>
      <c r="X51" s="210">
        <v>0</v>
      </c>
      <c r="Y51" s="209">
        <f>V51+W51-X51</f>
        <v>0</v>
      </c>
      <c r="Z51" s="178"/>
      <c r="AA51" s="178"/>
      <c r="AB51" s="178"/>
      <c r="AC51" s="178"/>
      <c r="AD51" s="178"/>
    </row>
    <row r="52" spans="1:30" x14ac:dyDescent="0.25">
      <c r="A52" s="180"/>
      <c r="B52" s="204"/>
      <c r="C52" s="206" t="s">
        <v>14</v>
      </c>
      <c r="D52" s="210">
        <v>398.5</v>
      </c>
      <c r="E52" s="210">
        <v>749</v>
      </c>
      <c r="F52" s="210">
        <v>608.4</v>
      </c>
      <c r="G52" s="209">
        <f>D52+E52-F52</f>
        <v>539.1</v>
      </c>
      <c r="H52" s="202"/>
      <c r="I52" s="178"/>
      <c r="J52" s="210">
        <v>539.1</v>
      </c>
      <c r="K52" s="210">
        <v>869.4</v>
      </c>
      <c r="L52" s="210">
        <v>1408.5</v>
      </c>
      <c r="M52" s="209">
        <f>J52+K52-L52</f>
        <v>0</v>
      </c>
      <c r="N52" s="178"/>
      <c r="O52" s="178"/>
      <c r="P52" s="210">
        <v>539.1</v>
      </c>
      <c r="Q52" s="210">
        <v>434.7</v>
      </c>
      <c r="R52" s="210">
        <v>302</v>
      </c>
      <c r="S52" s="209">
        <f>P52+Q52-R52</f>
        <v>671.8</v>
      </c>
      <c r="T52" s="178"/>
      <c r="U52" s="178"/>
      <c r="V52" s="210">
        <v>0</v>
      </c>
      <c r="W52" s="210">
        <v>858.7</v>
      </c>
      <c r="X52" s="210">
        <v>858.7</v>
      </c>
      <c r="Y52" s="209">
        <f>V52+W52-X52</f>
        <v>0</v>
      </c>
      <c r="Z52" s="178"/>
      <c r="AA52" s="178"/>
      <c r="AB52" s="178"/>
      <c r="AC52" s="178"/>
      <c r="AD52" s="178"/>
    </row>
    <row r="53" spans="1:30" x14ac:dyDescent="0.25">
      <c r="A53" s="180"/>
      <c r="B53" s="204"/>
      <c r="C53" s="206" t="s">
        <v>13</v>
      </c>
      <c r="D53" s="210">
        <v>288.39999999999998</v>
      </c>
      <c r="E53" s="210">
        <v>60</v>
      </c>
      <c r="F53" s="210">
        <v>84.1</v>
      </c>
      <c r="G53" s="209">
        <f>D53+E53-F53</f>
        <v>264.29999999999995</v>
      </c>
      <c r="H53" s="202"/>
      <c r="I53" s="178"/>
      <c r="J53" s="210">
        <v>150</v>
      </c>
      <c r="K53" s="210">
        <v>0</v>
      </c>
      <c r="L53" s="210">
        <v>150</v>
      </c>
      <c r="M53" s="209">
        <f>J53+K53-L53</f>
        <v>0</v>
      </c>
      <c r="N53" s="178"/>
      <c r="O53" s="178"/>
      <c r="P53" s="210">
        <v>264.3</v>
      </c>
      <c r="Q53" s="210">
        <v>34</v>
      </c>
      <c r="R53" s="210">
        <v>0</v>
      </c>
      <c r="S53" s="209">
        <f>P53+Q53-R53</f>
        <v>298.3</v>
      </c>
      <c r="T53" s="178"/>
      <c r="U53" s="178"/>
      <c r="V53" s="210">
        <v>0</v>
      </c>
      <c r="W53" s="210">
        <v>0</v>
      </c>
      <c r="X53" s="210">
        <v>0</v>
      </c>
      <c r="Y53" s="209">
        <f>V53+W53-X53</f>
        <v>0</v>
      </c>
      <c r="Z53" s="178"/>
      <c r="AA53" s="178"/>
      <c r="AB53" s="178"/>
      <c r="AC53" s="178"/>
      <c r="AD53" s="178"/>
    </row>
    <row r="54" spans="1:30" x14ac:dyDescent="0.25">
      <c r="A54" s="180"/>
      <c r="B54" s="204"/>
      <c r="C54" s="212" t="s">
        <v>12</v>
      </c>
      <c r="D54" s="210">
        <v>476.7</v>
      </c>
      <c r="E54" s="210">
        <v>598.29999999999995</v>
      </c>
      <c r="F54" s="210">
        <v>470.6</v>
      </c>
      <c r="G54" s="209">
        <f>D54+E54-F54</f>
        <v>604.4</v>
      </c>
      <c r="H54" s="202"/>
      <c r="I54" s="178"/>
      <c r="J54" s="210">
        <v>0</v>
      </c>
      <c r="K54" s="210">
        <v>544</v>
      </c>
      <c r="L54" s="210">
        <v>544</v>
      </c>
      <c r="M54" s="209">
        <f>J54+K54-L54</f>
        <v>0</v>
      </c>
      <c r="N54" s="178"/>
      <c r="O54" s="178"/>
      <c r="P54" s="210">
        <v>604.4</v>
      </c>
      <c r="Q54" s="210">
        <v>311.2</v>
      </c>
      <c r="R54" s="210">
        <v>216</v>
      </c>
      <c r="S54" s="209">
        <f>P54+Q54-R54</f>
        <v>699.59999999999991</v>
      </c>
      <c r="T54" s="178"/>
      <c r="U54" s="178"/>
      <c r="V54" s="210">
        <v>0</v>
      </c>
      <c r="W54" s="210">
        <v>657.6</v>
      </c>
      <c r="X54" s="210">
        <v>657.6</v>
      </c>
      <c r="Y54" s="209">
        <f>V54+W54-X54</f>
        <v>0</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63.1</v>
      </c>
      <c r="E57" s="205">
        <v>65.599999999999994</v>
      </c>
      <c r="F57" s="202"/>
      <c r="G57" s="202"/>
      <c r="H57" s="202"/>
      <c r="I57" s="201"/>
      <c r="J57" s="205">
        <v>67</v>
      </c>
      <c r="K57" s="202"/>
      <c r="L57" s="202"/>
      <c r="M57" s="202"/>
      <c r="N57" s="202"/>
      <c r="O57" s="201"/>
      <c r="P57" s="205">
        <v>66.599999999999994</v>
      </c>
      <c r="Q57" s="201"/>
      <c r="R57" s="201"/>
      <c r="S57" s="201"/>
      <c r="T57" s="201"/>
      <c r="U57" s="201"/>
      <c r="V57" s="205">
        <v>67</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t="s">
        <v>185</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424" t="s">
        <v>184</v>
      </c>
      <c r="C61" s="423"/>
      <c r="D61" s="423"/>
      <c r="E61" s="423"/>
      <c r="F61" s="423"/>
      <c r="G61" s="423"/>
      <c r="H61" s="423"/>
      <c r="I61" s="423"/>
      <c r="J61" s="423"/>
      <c r="K61" s="423"/>
      <c r="L61" s="423"/>
      <c r="M61" s="423"/>
      <c r="N61" s="423"/>
      <c r="O61" s="423"/>
      <c r="P61" s="423"/>
      <c r="Q61" s="423"/>
      <c r="R61" s="423"/>
      <c r="S61" s="423"/>
      <c r="T61" s="423"/>
      <c r="U61" s="423"/>
      <c r="V61" s="191"/>
      <c r="W61" s="191"/>
      <c r="X61" s="191"/>
      <c r="Y61" s="191"/>
      <c r="Z61" s="191"/>
      <c r="AA61" s="191"/>
      <c r="AB61" s="190"/>
      <c r="AC61" s="178"/>
      <c r="AD61" s="178"/>
    </row>
    <row r="62" spans="1:30" x14ac:dyDescent="0.25">
      <c r="A62" s="180"/>
      <c r="B62" s="424" t="s">
        <v>183</v>
      </c>
      <c r="C62" s="423"/>
      <c r="D62" s="423"/>
      <c r="E62" s="423"/>
      <c r="F62" s="423"/>
      <c r="G62" s="423"/>
      <c r="H62" s="423"/>
      <c r="I62" s="423"/>
      <c r="J62" s="423"/>
      <c r="K62" s="423"/>
      <c r="L62" s="423"/>
      <c r="M62" s="423"/>
      <c r="N62" s="423"/>
      <c r="O62" s="423"/>
      <c r="P62" s="423"/>
      <c r="Q62" s="423"/>
      <c r="R62" s="423"/>
      <c r="S62" s="423"/>
      <c r="T62" s="423"/>
      <c r="U62" s="423"/>
      <c r="V62" s="191"/>
      <c r="W62" s="191"/>
      <c r="X62" s="191"/>
      <c r="Y62" s="191"/>
      <c r="Z62" s="191"/>
      <c r="AA62" s="191"/>
      <c r="AB62" s="190"/>
      <c r="AC62" s="178"/>
      <c r="AD62" s="178"/>
    </row>
    <row r="63" spans="1:30" x14ac:dyDescent="0.25">
      <c r="A63" s="180"/>
      <c r="B63" s="424" t="s">
        <v>182</v>
      </c>
      <c r="C63" s="423"/>
      <c r="D63" s="423"/>
      <c r="E63" s="423"/>
      <c r="F63" s="423"/>
      <c r="G63" s="423"/>
      <c r="H63" s="423"/>
      <c r="I63" s="423"/>
      <c r="J63" s="423"/>
      <c r="K63" s="423"/>
      <c r="L63" s="423"/>
      <c r="M63" s="423"/>
      <c r="N63" s="423"/>
      <c r="O63" s="423"/>
      <c r="P63" s="423"/>
      <c r="Q63" s="423"/>
      <c r="R63" s="423"/>
      <c r="S63" s="423"/>
      <c r="T63" s="423"/>
      <c r="U63" s="423"/>
      <c r="V63" s="191"/>
      <c r="W63" s="191"/>
      <c r="X63" s="191"/>
      <c r="Y63" s="191"/>
      <c r="Z63" s="191"/>
      <c r="AA63" s="191"/>
      <c r="AB63" s="190"/>
      <c r="AC63" s="178"/>
      <c r="AD63" s="178"/>
    </row>
    <row r="64" spans="1:30" x14ac:dyDescent="0.25">
      <c r="A64" s="180"/>
      <c r="B64" s="456" t="s">
        <v>181</v>
      </c>
      <c r="C64" s="414"/>
      <c r="D64" s="413"/>
      <c r="E64" s="413"/>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415"/>
      <c r="C65" s="455"/>
      <c r="D65" s="413"/>
      <c r="E65" s="413"/>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412"/>
      <c r="C66" s="411"/>
      <c r="D66" s="410"/>
      <c r="E66" s="410"/>
      <c r="F66" s="409"/>
      <c r="G66" s="409"/>
      <c r="H66" s="409"/>
      <c r="I66" s="409"/>
      <c r="J66" s="409"/>
      <c r="K66" s="409"/>
      <c r="L66" s="409"/>
      <c r="M66" s="409"/>
      <c r="N66" s="409"/>
      <c r="O66" s="409"/>
      <c r="P66" s="409"/>
      <c r="Q66" s="409"/>
      <c r="R66" s="409"/>
      <c r="S66" s="409"/>
      <c r="T66" s="409"/>
      <c r="U66" s="409"/>
      <c r="V66" s="408"/>
      <c r="W66" s="408"/>
      <c r="X66" s="408"/>
      <c r="Y66" s="408"/>
      <c r="Z66" s="408"/>
      <c r="AA66" s="408"/>
      <c r="AB66" s="407"/>
      <c r="AC66" s="178"/>
      <c r="AD66" s="178"/>
    </row>
    <row r="67" spans="1:30" x14ac:dyDescent="0.25">
      <c r="A67" s="189"/>
      <c r="B67" s="187"/>
      <c r="C67" s="188"/>
      <c r="D67" s="187"/>
      <c r="E67" s="187"/>
      <c r="F67" s="186"/>
      <c r="G67" s="186"/>
      <c r="H67" s="186"/>
      <c r="I67" s="186"/>
      <c r="J67" s="186"/>
      <c r="K67" s="186"/>
      <c r="L67" s="186"/>
      <c r="M67" s="186"/>
      <c r="N67" s="186"/>
      <c r="O67" s="186"/>
      <c r="P67" s="186"/>
      <c r="Q67" s="186"/>
      <c r="R67" s="186"/>
      <c r="S67" s="186"/>
      <c r="T67" s="186"/>
      <c r="U67" s="186"/>
      <c r="V67" s="178"/>
      <c r="W67" s="178"/>
      <c r="X67" s="178"/>
      <c r="Y67" s="178"/>
      <c r="Z67" s="178"/>
      <c r="AA67" s="178"/>
      <c r="AB67" s="178"/>
      <c r="AC67" s="178"/>
      <c r="AD67" s="178"/>
    </row>
    <row r="68" spans="1:30" x14ac:dyDescent="0.25">
      <c r="A68" s="189"/>
      <c r="B68" s="187"/>
      <c r="C68" s="188"/>
      <c r="D68" s="187"/>
      <c r="E68" s="187"/>
      <c r="F68" s="186"/>
      <c r="G68" s="186"/>
      <c r="H68" s="186"/>
      <c r="I68" s="186"/>
      <c r="J68" s="186"/>
      <c r="K68" s="186"/>
      <c r="L68" s="186"/>
      <c r="M68" s="186"/>
      <c r="N68" s="186"/>
      <c r="O68" s="186"/>
      <c r="P68" s="186"/>
      <c r="Q68" s="186"/>
      <c r="R68" s="186"/>
      <c r="S68" s="186"/>
      <c r="T68" s="186"/>
      <c r="U68" s="186"/>
      <c r="V68" s="178"/>
      <c r="W68" s="178"/>
      <c r="X68" s="178"/>
      <c r="Y68" s="178"/>
      <c r="Z68" s="178"/>
      <c r="AA68" s="178"/>
      <c r="AB68" s="178"/>
      <c r="AC68" s="178"/>
      <c r="AD68" s="178"/>
    </row>
    <row r="69" spans="1:30" x14ac:dyDescent="0.25">
      <c r="A69" s="180"/>
      <c r="B69" s="179"/>
      <c r="C69" s="179"/>
      <c r="D69" s="179"/>
      <c r="E69" s="179"/>
      <c r="F69" s="179"/>
      <c r="G69" s="179"/>
      <c r="H69" s="179"/>
      <c r="I69" s="179"/>
      <c r="J69" s="179"/>
      <c r="K69" s="179"/>
      <c r="L69" s="179"/>
      <c r="M69" s="179"/>
      <c r="N69" s="179"/>
      <c r="O69" s="179"/>
      <c r="P69" s="179"/>
      <c r="Q69" s="179"/>
      <c r="R69" s="179"/>
      <c r="S69" s="179"/>
      <c r="T69" s="179"/>
      <c r="U69" s="179"/>
      <c r="V69" s="178"/>
      <c r="W69" s="178"/>
      <c r="X69" s="178"/>
      <c r="Y69" s="178"/>
      <c r="Z69" s="178"/>
      <c r="AA69" s="178"/>
      <c r="AB69" s="178"/>
      <c r="AC69" s="178"/>
      <c r="AD69" s="178"/>
    </row>
    <row r="70" spans="1:30" x14ac:dyDescent="0.25">
      <c r="A70" s="180"/>
      <c r="B70" s="179" t="s">
        <v>5</v>
      </c>
      <c r="C70" s="185">
        <v>44496</v>
      </c>
      <c r="D70" s="179" t="s">
        <v>4</v>
      </c>
      <c r="E70" s="184" t="s">
        <v>180</v>
      </c>
      <c r="F70" s="184"/>
      <c r="G70" s="184"/>
      <c r="H70" s="179"/>
      <c r="I70" s="179" t="s">
        <v>2</v>
      </c>
      <c r="J70" s="183" t="s">
        <v>179</v>
      </c>
      <c r="K70" s="183"/>
      <c r="L70" s="183"/>
      <c r="M70" s="183"/>
      <c r="N70" s="179"/>
      <c r="O70" s="179"/>
      <c r="P70" s="179"/>
      <c r="Q70" s="179"/>
      <c r="R70" s="179"/>
      <c r="S70" s="179"/>
      <c r="T70" s="179"/>
      <c r="U70" s="179"/>
      <c r="V70" s="178"/>
      <c r="W70" s="178"/>
      <c r="X70" s="178"/>
      <c r="Y70" s="178"/>
      <c r="Z70" s="178"/>
      <c r="AA70" s="178"/>
      <c r="AB70" s="178"/>
      <c r="AC70" s="178"/>
      <c r="AD70" s="178"/>
    </row>
    <row r="71" spans="1:30" ht="7.5" customHeight="1" x14ac:dyDescent="0.25">
      <c r="A71" s="180"/>
      <c r="B71" s="179"/>
      <c r="C71" s="179"/>
      <c r="D71" s="179"/>
      <c r="E71" s="179"/>
      <c r="F71" s="179"/>
      <c r="G71" s="179"/>
      <c r="H71" s="179"/>
      <c r="I71" s="179"/>
      <c r="J71" s="179"/>
      <c r="K71" s="179"/>
      <c r="L71" s="179"/>
      <c r="M71" s="179"/>
      <c r="N71" s="179"/>
      <c r="O71" s="179"/>
      <c r="P71" s="179"/>
      <c r="Q71" s="179"/>
      <c r="R71" s="179"/>
      <c r="S71" s="179"/>
      <c r="T71" s="179"/>
      <c r="U71" s="179"/>
      <c r="V71" s="178"/>
      <c r="W71" s="178"/>
      <c r="X71" s="178"/>
      <c r="Y71" s="178"/>
      <c r="Z71" s="178"/>
      <c r="AA71" s="178"/>
      <c r="AB71" s="178"/>
      <c r="AC71" s="178"/>
      <c r="AD71" s="178"/>
    </row>
    <row r="72" spans="1:30" x14ac:dyDescent="0.25">
      <c r="A72" s="180"/>
      <c r="B72" s="179"/>
      <c r="C72" s="179"/>
      <c r="D72" s="179" t="s">
        <v>0</v>
      </c>
      <c r="E72" s="182"/>
      <c r="F72" s="182"/>
      <c r="G72" s="182"/>
      <c r="H72" s="179"/>
      <c r="I72" s="179" t="s">
        <v>0</v>
      </c>
      <c r="J72" s="181"/>
      <c r="K72" s="181"/>
      <c r="L72" s="181"/>
      <c r="M72" s="181"/>
      <c r="N72" s="179"/>
      <c r="O72" s="179"/>
      <c r="P72" s="179"/>
      <c r="Q72" s="179"/>
      <c r="R72" s="179"/>
      <c r="S72" s="179"/>
      <c r="T72" s="179"/>
      <c r="U72" s="179"/>
      <c r="V72" s="178"/>
      <c r="W72" s="178"/>
      <c r="X72" s="178"/>
      <c r="Y72" s="178"/>
      <c r="Z72" s="178"/>
      <c r="AA72" s="178"/>
      <c r="AB72" s="178"/>
      <c r="AC72" s="178"/>
      <c r="AD72" s="178"/>
    </row>
    <row r="73" spans="1:30" x14ac:dyDescent="0.25">
      <c r="A73" s="180"/>
      <c r="B73" s="179"/>
      <c r="C73" s="179"/>
      <c r="D73" s="179"/>
      <c r="E73" s="182"/>
      <c r="F73" s="182"/>
      <c r="G73" s="182"/>
      <c r="H73" s="179"/>
      <c r="I73" s="179"/>
      <c r="J73" s="181"/>
      <c r="K73" s="181"/>
      <c r="L73" s="181"/>
      <c r="M73" s="181"/>
      <c r="N73" s="179"/>
      <c r="O73" s="179"/>
      <c r="P73" s="179"/>
      <c r="Q73" s="179"/>
      <c r="R73" s="179"/>
      <c r="S73" s="179"/>
      <c r="T73" s="179"/>
      <c r="U73" s="179"/>
      <c r="V73" s="178"/>
      <c r="W73" s="178"/>
      <c r="X73" s="178"/>
      <c r="Y73" s="178"/>
      <c r="Z73" s="178"/>
      <c r="AA73" s="178"/>
      <c r="AB73" s="178"/>
      <c r="AC73" s="178"/>
      <c r="AD73" s="178"/>
    </row>
    <row r="74" spans="1:30" x14ac:dyDescent="0.25">
      <c r="A74" s="180"/>
      <c r="B74" s="179"/>
      <c r="C74" s="179"/>
      <c r="D74" s="179"/>
      <c r="E74" s="179"/>
      <c r="F74" s="179"/>
      <c r="G74" s="179"/>
      <c r="H74" s="179"/>
      <c r="I74" s="179"/>
      <c r="J74" s="179"/>
      <c r="K74" s="179"/>
      <c r="L74" s="179"/>
      <c r="M74" s="179"/>
      <c r="N74" s="179"/>
      <c r="O74" s="179"/>
      <c r="P74" s="179"/>
      <c r="Q74" s="179"/>
      <c r="R74" s="179"/>
      <c r="S74" s="179"/>
      <c r="T74" s="179"/>
      <c r="U74" s="179"/>
      <c r="V74" s="178"/>
      <c r="W74" s="178"/>
      <c r="X74" s="178"/>
      <c r="Y74" s="178"/>
      <c r="Z74" s="178"/>
      <c r="AA74" s="178"/>
      <c r="AB74" s="178"/>
      <c r="AC74" s="178"/>
      <c r="AD74" s="178"/>
    </row>
    <row r="75" spans="1:30" x14ac:dyDescent="0.25">
      <c r="A75" s="180"/>
      <c r="B75" s="179"/>
      <c r="C75" s="179"/>
      <c r="D75" s="179"/>
      <c r="E75" s="179"/>
      <c r="F75" s="179"/>
      <c r="G75" s="179"/>
      <c r="H75" s="179"/>
      <c r="I75" s="179"/>
      <c r="J75" s="179"/>
      <c r="K75" s="179"/>
      <c r="L75" s="179"/>
      <c r="M75" s="179"/>
      <c r="N75" s="179"/>
      <c r="O75" s="179"/>
      <c r="P75" s="179"/>
      <c r="Q75" s="179"/>
      <c r="R75" s="179"/>
      <c r="S75" s="179"/>
      <c r="T75" s="179"/>
      <c r="U75" s="179"/>
      <c r="V75" s="178"/>
      <c r="W75" s="178"/>
      <c r="X75" s="178"/>
      <c r="Y75" s="178"/>
      <c r="Z75" s="178"/>
      <c r="AA75" s="178"/>
      <c r="AB75" s="178"/>
      <c r="AC75" s="178"/>
      <c r="AD75" s="178"/>
    </row>
    <row r="76" spans="1:30" hidden="1" x14ac:dyDescent="0.25">
      <c r="AC76" s="175"/>
      <c r="AD76" s="175"/>
    </row>
    <row r="77" spans="1:30" hidden="1" x14ac:dyDescent="0.25"/>
    <row r="78" spans="1:30" hidden="1" x14ac:dyDescent="0.25"/>
    <row r="79" spans="1:30" hidden="1" x14ac:dyDescent="0.25"/>
    <row r="80" spans="1:3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t="15" hidden="1" customHeight="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t="15" hidden="1" customHeight="1" x14ac:dyDescent="0.25"/>
    <row r="107" ht="15" hidden="1" customHeight="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sheetData>
  <mergeCells count="64">
    <mergeCell ref="Z13:Z14"/>
    <mergeCell ref="AB10:AB14"/>
    <mergeCell ref="V11:Y11"/>
    <mergeCell ref="V12:AA12"/>
    <mergeCell ref="V13:X13"/>
    <mergeCell ref="AA13:AA14"/>
    <mergeCell ref="Y26:Y27"/>
    <mergeCell ref="Z26:Z27"/>
    <mergeCell ref="V10:AA10"/>
    <mergeCell ref="V25:AA25"/>
    <mergeCell ref="Y13:Y14"/>
    <mergeCell ref="P26:R26"/>
    <mergeCell ref="S26:S27"/>
    <mergeCell ref="T26:T27"/>
    <mergeCell ref="U26:U27"/>
    <mergeCell ref="AB25:AB27"/>
    <mergeCell ref="V26:X26"/>
    <mergeCell ref="AA26:AA27"/>
    <mergeCell ref="D11:G11"/>
    <mergeCell ref="C10:C13"/>
    <mergeCell ref="D13:F13"/>
    <mergeCell ref="H26:H27"/>
    <mergeCell ref="I26:I27"/>
    <mergeCell ref="P10:U10"/>
    <mergeCell ref="S13:S14"/>
    <mergeCell ref="T13:T14"/>
    <mergeCell ref="U13:U14"/>
    <mergeCell ref="P25:U25"/>
    <mergeCell ref="E70:G70"/>
    <mergeCell ref="J70:M70"/>
    <mergeCell ref="B63:U63"/>
    <mergeCell ref="D4:U4"/>
    <mergeCell ref="D8:U8"/>
    <mergeCell ref="C43:C44"/>
    <mergeCell ref="C46:C47"/>
    <mergeCell ref="C26:C27"/>
    <mergeCell ref="D12:I12"/>
    <mergeCell ref="D10:I10"/>
    <mergeCell ref="M26:M27"/>
    <mergeCell ref="N26:N27"/>
    <mergeCell ref="O26:O27"/>
    <mergeCell ref="G13:G14"/>
    <mergeCell ref="H13:H14"/>
    <mergeCell ref="I13:I14"/>
    <mergeCell ref="P11:S11"/>
    <mergeCell ref="P12:U12"/>
    <mergeCell ref="P13:R13"/>
    <mergeCell ref="B62:U62"/>
    <mergeCell ref="D59:U59"/>
    <mergeCell ref="B61:U61"/>
    <mergeCell ref="B26:B27"/>
    <mergeCell ref="O13:O14"/>
    <mergeCell ref="J25:O25"/>
    <mergeCell ref="J26:L26"/>
    <mergeCell ref="D25:I25"/>
    <mergeCell ref="D26:F26"/>
    <mergeCell ref="G26:G27"/>
    <mergeCell ref="B10:B13"/>
    <mergeCell ref="J10:O10"/>
    <mergeCell ref="J11:M11"/>
    <mergeCell ref="J12:O12"/>
    <mergeCell ref="J13:L13"/>
    <mergeCell ref="M13:M14"/>
    <mergeCell ref="N13:N14"/>
  </mergeCells>
  <conditionalFormatting sqref="AB15:AB25">
    <cfRule type="cellIs" dxfId="11" priority="3" operator="equal">
      <formula>0</formula>
    </cfRule>
    <cfRule type="containsErrors" dxfId="10" priority="4">
      <formula>ISERROR(AB15)</formula>
    </cfRule>
  </conditionalFormatting>
  <conditionalFormatting sqref="AB28:AB41">
    <cfRule type="cellIs" dxfId="9" priority="1" operator="equal">
      <formula>0</formula>
    </cfRule>
    <cfRule type="containsErrors" dxfId="8" priority="2">
      <formula>ISERROR(AB28)</formula>
    </cfRule>
  </conditionalFormatting>
  <pageMargins left="0.31496062992125984" right="0" top="0.78740157480314965" bottom="0.78740157480314965" header="0.31496062992125984" footer="0.31496062992125984"/>
  <pageSetup paperSize="8" scale="4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D276"/>
  <sheetViews>
    <sheetView showGridLines="0" topLeftCell="D1" zoomScale="80" zoomScaleNormal="80" zoomScaleSheetLayoutView="80" workbookViewId="0">
      <selection activeCell="V32" sqref="V32"/>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147</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71294147</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146</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1818.4</v>
      </c>
      <c r="G15" s="366">
        <f>SUM(D15:F15)</f>
        <v>1818.4</v>
      </c>
      <c r="H15" s="352">
        <v>117</v>
      </c>
      <c r="I15" s="266">
        <f>G15+H15</f>
        <v>1935.4</v>
      </c>
      <c r="J15" s="369"/>
      <c r="K15" s="368"/>
      <c r="L15" s="367">
        <v>2400</v>
      </c>
      <c r="M15" s="366">
        <f>SUM(J15:L15)</f>
        <v>2400</v>
      </c>
      <c r="N15" s="352">
        <v>300</v>
      </c>
      <c r="O15" s="266">
        <f>M15+N15</f>
        <v>2700</v>
      </c>
      <c r="P15" s="369"/>
      <c r="Q15" s="368"/>
      <c r="R15" s="367">
        <v>833.9</v>
      </c>
      <c r="S15" s="366">
        <f>SUM(P15:R15)</f>
        <v>833.9</v>
      </c>
      <c r="T15" s="352">
        <v>16.3</v>
      </c>
      <c r="U15" s="266">
        <f>S15+T15</f>
        <v>850.19999999999993</v>
      </c>
      <c r="V15" s="369"/>
      <c r="W15" s="368"/>
      <c r="X15" s="367">
        <v>2400</v>
      </c>
      <c r="Y15" s="366">
        <f>SUM(V15:X15)</f>
        <v>2400</v>
      </c>
      <c r="Z15" s="352">
        <v>350</v>
      </c>
      <c r="AA15" s="266">
        <f>Y15+Z15</f>
        <v>2750</v>
      </c>
      <c r="AB15" s="232">
        <f>(AA15/O15)</f>
        <v>1.0185185185185186</v>
      </c>
      <c r="AC15" s="178"/>
      <c r="AD15" s="178"/>
    </row>
    <row r="16" spans="1:30" x14ac:dyDescent="0.25">
      <c r="A16" s="180"/>
      <c r="B16" s="274" t="s">
        <v>86</v>
      </c>
      <c r="C16" s="361" t="s">
        <v>85</v>
      </c>
      <c r="D16" s="360">
        <v>815</v>
      </c>
      <c r="E16" s="343"/>
      <c r="F16" s="343"/>
      <c r="G16" s="341">
        <f>SUM(D16:F16)</f>
        <v>815</v>
      </c>
      <c r="H16" s="358"/>
      <c r="I16" s="266">
        <f>G16+H16</f>
        <v>815</v>
      </c>
      <c r="J16" s="360">
        <v>1804.2</v>
      </c>
      <c r="K16" s="343"/>
      <c r="L16" s="343"/>
      <c r="M16" s="341">
        <f>SUM(J16:L16)</f>
        <v>1804.2</v>
      </c>
      <c r="N16" s="358"/>
      <c r="O16" s="266">
        <f>M16+N16</f>
        <v>1804.2</v>
      </c>
      <c r="P16" s="360">
        <v>1202.0999999999999</v>
      </c>
      <c r="Q16" s="343"/>
      <c r="R16" s="343"/>
      <c r="S16" s="341">
        <f>SUM(P16:R16)</f>
        <v>1202.0999999999999</v>
      </c>
      <c r="T16" s="358"/>
      <c r="U16" s="266">
        <f>S16+T16</f>
        <v>1202.0999999999999</v>
      </c>
      <c r="V16" s="360">
        <v>1310</v>
      </c>
      <c r="W16" s="343"/>
      <c r="X16" s="343"/>
      <c r="Y16" s="341">
        <f>SUM(V16:X16)</f>
        <v>1310</v>
      </c>
      <c r="Z16" s="358"/>
      <c r="AA16" s="266">
        <f>Y16+Z16</f>
        <v>1310</v>
      </c>
      <c r="AB16" s="232">
        <f>(AA16/O16)</f>
        <v>0.72608358275135787</v>
      </c>
      <c r="AC16" s="178"/>
      <c r="AD16" s="178"/>
    </row>
    <row r="17" spans="1:30" x14ac:dyDescent="0.25">
      <c r="A17" s="180"/>
      <c r="B17" s="274" t="s">
        <v>84</v>
      </c>
      <c r="C17" s="357" t="s">
        <v>83</v>
      </c>
      <c r="D17" s="356"/>
      <c r="E17" s="350"/>
      <c r="F17" s="350"/>
      <c r="G17" s="341">
        <f>SUM(D17:F17)</f>
        <v>0</v>
      </c>
      <c r="H17" s="355"/>
      <c r="I17" s="266">
        <f>G17+H17</f>
        <v>0</v>
      </c>
      <c r="J17" s="356">
        <v>253</v>
      </c>
      <c r="K17" s="350"/>
      <c r="L17" s="350"/>
      <c r="M17" s="341">
        <f>SUM(J17:L17)</f>
        <v>253</v>
      </c>
      <c r="N17" s="355"/>
      <c r="O17" s="266">
        <f>M17+N17</f>
        <v>253</v>
      </c>
      <c r="P17" s="356">
        <v>126.5</v>
      </c>
      <c r="Q17" s="350"/>
      <c r="R17" s="350"/>
      <c r="S17" s="341">
        <f>SUM(P17:R17)</f>
        <v>126.5</v>
      </c>
      <c r="T17" s="355"/>
      <c r="U17" s="266">
        <f>S17+T17</f>
        <v>126.5</v>
      </c>
      <c r="V17" s="356">
        <v>186</v>
      </c>
      <c r="W17" s="350"/>
      <c r="X17" s="350"/>
      <c r="Y17" s="341">
        <f>SUM(V17:X17)</f>
        <v>186</v>
      </c>
      <c r="Z17" s="355"/>
      <c r="AA17" s="266">
        <f>Y17+Z17</f>
        <v>186</v>
      </c>
      <c r="AB17" s="232">
        <f>(AA17/O17)</f>
        <v>0.7351778656126482</v>
      </c>
      <c r="AC17" s="178"/>
      <c r="AD17" s="178"/>
    </row>
    <row r="18" spans="1:30" x14ac:dyDescent="0.25">
      <c r="A18" s="180"/>
      <c r="B18" s="274" t="s">
        <v>82</v>
      </c>
      <c r="C18" s="354" t="s">
        <v>81</v>
      </c>
      <c r="D18" s="344"/>
      <c r="E18" s="353">
        <f>9000.941+1450.253+74.98</f>
        <v>10526.174000000001</v>
      </c>
      <c r="F18" s="350"/>
      <c r="G18" s="341">
        <f>SUM(D18:F18)</f>
        <v>10526.174000000001</v>
      </c>
      <c r="H18" s="352"/>
      <c r="I18" s="266">
        <f>G18+H18</f>
        <v>10526.174000000001</v>
      </c>
      <c r="J18" s="344"/>
      <c r="K18" s="353">
        <v>9000.9</v>
      </c>
      <c r="L18" s="350"/>
      <c r="M18" s="341">
        <f>SUM(J18:L18)</f>
        <v>9000.9</v>
      </c>
      <c r="N18" s="352"/>
      <c r="O18" s="266">
        <f>M18+N18</f>
        <v>9000.9</v>
      </c>
      <c r="P18" s="344"/>
      <c r="Q18" s="353">
        <v>4587.3</v>
      </c>
      <c r="R18" s="350"/>
      <c r="S18" s="341">
        <f>SUM(P18:R18)</f>
        <v>4587.3</v>
      </c>
      <c r="T18" s="352"/>
      <c r="U18" s="266">
        <f>S18+T18</f>
        <v>4587.3</v>
      </c>
      <c r="V18" s="344"/>
      <c r="W18" s="353">
        <v>9000.9</v>
      </c>
      <c r="X18" s="350"/>
      <c r="Y18" s="341">
        <f>SUM(V18:X18)</f>
        <v>9000.9</v>
      </c>
      <c r="Z18" s="352"/>
      <c r="AA18" s="266">
        <f>Y18+Z18</f>
        <v>9000.9</v>
      </c>
      <c r="AB18" s="232">
        <f>(AA18/O18)</f>
        <v>1</v>
      </c>
      <c r="AC18" s="178"/>
      <c r="AD18" s="178"/>
    </row>
    <row r="19" spans="1:30" x14ac:dyDescent="0.25">
      <c r="A19" s="180"/>
      <c r="B19" s="274" t="s">
        <v>80</v>
      </c>
      <c r="C19" s="280" t="s">
        <v>79</v>
      </c>
      <c r="D19" s="351"/>
      <c r="E19" s="350"/>
      <c r="F19" s="347">
        <v>69.400000000000006</v>
      </c>
      <c r="G19" s="341">
        <f>SUM(D19:F19)</f>
        <v>69.400000000000006</v>
      </c>
      <c r="H19" s="345"/>
      <c r="I19" s="266">
        <f>G19+H19</f>
        <v>69.400000000000006</v>
      </c>
      <c r="J19" s="351"/>
      <c r="K19" s="350"/>
      <c r="L19" s="347">
        <v>34.700000000000003</v>
      </c>
      <c r="M19" s="341">
        <f>SUM(J19:L19)</f>
        <v>34.700000000000003</v>
      </c>
      <c r="N19" s="345"/>
      <c r="O19" s="266">
        <f>M19+N19</f>
        <v>34.700000000000003</v>
      </c>
      <c r="P19" s="351"/>
      <c r="Q19" s="350"/>
      <c r="R19" s="347">
        <v>173.5</v>
      </c>
      <c r="S19" s="341">
        <f>SUM(P19:R19)</f>
        <v>173.5</v>
      </c>
      <c r="T19" s="345"/>
      <c r="U19" s="266">
        <f>S19+T19</f>
        <v>173.5</v>
      </c>
      <c r="V19" s="351"/>
      <c r="W19" s="350"/>
      <c r="X19" s="347">
        <v>347.00200000000001</v>
      </c>
      <c r="Y19" s="341">
        <f>SUM(V19:X19)</f>
        <v>347.00200000000001</v>
      </c>
      <c r="Z19" s="345"/>
      <c r="AA19" s="266">
        <f>Y19+Z19</f>
        <v>347.00200000000001</v>
      </c>
      <c r="AB19" s="232">
        <f>(AA19/O19)</f>
        <v>10.000057636887608</v>
      </c>
      <c r="AC19" s="178"/>
      <c r="AD19" s="178"/>
    </row>
    <row r="20" spans="1:30" x14ac:dyDescent="0.25">
      <c r="A20" s="180"/>
      <c r="B20" s="274" t="s">
        <v>78</v>
      </c>
      <c r="C20" s="346" t="s">
        <v>77</v>
      </c>
      <c r="D20" s="344"/>
      <c r="E20" s="343"/>
      <c r="F20" s="342">
        <v>930.2</v>
      </c>
      <c r="G20" s="341">
        <f>SUM(D20:F20)</f>
        <v>930.2</v>
      </c>
      <c r="H20" s="345"/>
      <c r="I20" s="266">
        <f>G20+H20</f>
        <v>930.2</v>
      </c>
      <c r="J20" s="344"/>
      <c r="K20" s="343"/>
      <c r="L20" s="342">
        <v>30</v>
      </c>
      <c r="M20" s="341">
        <f>SUM(J20:L20)</f>
        <v>30</v>
      </c>
      <c r="N20" s="345"/>
      <c r="O20" s="266">
        <f>M20+N20</f>
        <v>30</v>
      </c>
      <c r="P20" s="344"/>
      <c r="Q20" s="343"/>
      <c r="R20" s="342"/>
      <c r="S20" s="341">
        <f>SUM(P20:R20)</f>
        <v>0</v>
      </c>
      <c r="T20" s="345"/>
      <c r="U20" s="266">
        <f>S20+T20</f>
        <v>0</v>
      </c>
      <c r="V20" s="344"/>
      <c r="W20" s="343"/>
      <c r="X20" s="342">
        <v>30</v>
      </c>
      <c r="Y20" s="341">
        <f>SUM(V20:X20)</f>
        <v>30</v>
      </c>
      <c r="Z20" s="345"/>
      <c r="AA20" s="266">
        <f>Y20+Z20</f>
        <v>30</v>
      </c>
      <c r="AB20" s="232">
        <f>(AA20/O20)</f>
        <v>1</v>
      </c>
      <c r="AC20" s="178"/>
      <c r="AD20" s="178"/>
    </row>
    <row r="21" spans="1:30" x14ac:dyDescent="0.25">
      <c r="A21" s="180"/>
      <c r="B21" s="274" t="s">
        <v>76</v>
      </c>
      <c r="C21" s="273" t="s">
        <v>75</v>
      </c>
      <c r="D21" s="344"/>
      <c r="E21" s="343"/>
      <c r="F21" s="342">
        <v>53.3</v>
      </c>
      <c r="G21" s="341">
        <f>SUM(D21:F21)</f>
        <v>53.3</v>
      </c>
      <c r="H21" s="336">
        <v>5</v>
      </c>
      <c r="I21" s="266">
        <f>G21+H21</f>
        <v>58.3</v>
      </c>
      <c r="J21" s="344"/>
      <c r="K21" s="343"/>
      <c r="L21" s="342">
        <v>80</v>
      </c>
      <c r="M21" s="341">
        <f>SUM(J21:L21)</f>
        <v>80</v>
      </c>
      <c r="N21" s="336">
        <v>5</v>
      </c>
      <c r="O21" s="266">
        <f>M21+N21</f>
        <v>85</v>
      </c>
      <c r="P21" s="344"/>
      <c r="Q21" s="343"/>
      <c r="R21" s="342">
        <v>4.3</v>
      </c>
      <c r="S21" s="341">
        <f>SUM(P21:R21)</f>
        <v>4.3</v>
      </c>
      <c r="T21" s="336"/>
      <c r="U21" s="266">
        <f>S21+T21</f>
        <v>4.3</v>
      </c>
      <c r="V21" s="344"/>
      <c r="W21" s="343"/>
      <c r="X21" s="342">
        <v>80</v>
      </c>
      <c r="Y21" s="341">
        <f>SUM(V21:X21)</f>
        <v>80</v>
      </c>
      <c r="Z21" s="336"/>
      <c r="AA21" s="266">
        <f>Y21+Z21</f>
        <v>80</v>
      </c>
      <c r="AB21" s="232">
        <f>(AA21/O21)</f>
        <v>0.94117647058823528</v>
      </c>
      <c r="AC21" s="178"/>
      <c r="AD21" s="178"/>
    </row>
    <row r="22" spans="1:30" x14ac:dyDescent="0.25">
      <c r="A22" s="180"/>
      <c r="B22" s="274" t="s">
        <v>74</v>
      </c>
      <c r="C22" s="273" t="s">
        <v>73</v>
      </c>
      <c r="D22" s="344"/>
      <c r="E22" s="343"/>
      <c r="F22" s="342"/>
      <c r="G22" s="341">
        <f>SUM(D22:F22)</f>
        <v>0</v>
      </c>
      <c r="H22" s="336"/>
      <c r="I22" s="266">
        <f>G22+H22</f>
        <v>0</v>
      </c>
      <c r="J22" s="344"/>
      <c r="K22" s="343"/>
      <c r="L22" s="342"/>
      <c r="M22" s="341">
        <f>SUM(J22:L22)</f>
        <v>0</v>
      </c>
      <c r="N22" s="336"/>
      <c r="O22" s="266">
        <f>M22+N22</f>
        <v>0</v>
      </c>
      <c r="P22" s="344"/>
      <c r="Q22" s="343"/>
      <c r="R22" s="342"/>
      <c r="S22" s="341">
        <f>SUM(P22:R22)</f>
        <v>0</v>
      </c>
      <c r="T22" s="336"/>
      <c r="U22" s="266">
        <f>S22+T22</f>
        <v>0</v>
      </c>
      <c r="V22" s="344"/>
      <c r="W22" s="343"/>
      <c r="X22" s="342"/>
      <c r="Y22" s="341">
        <f>SUM(V22:X22)</f>
        <v>0</v>
      </c>
      <c r="Z22" s="336"/>
      <c r="AA22" s="266">
        <f>Y22+Z22</f>
        <v>0</v>
      </c>
      <c r="AB22" s="232" t="e">
        <f>(AA22/O22)</f>
        <v>#DIV/0!</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815</v>
      </c>
      <c r="E24" s="322">
        <f>SUM(E15:E21)</f>
        <v>10526.174000000001</v>
      </c>
      <c r="F24" s="322">
        <f>SUM(F15:F21)</f>
        <v>2871.3</v>
      </c>
      <c r="G24" s="321">
        <f>SUM(D24:F24)</f>
        <v>14212.474000000002</v>
      </c>
      <c r="H24" s="320">
        <f>SUM(H15:H23)</f>
        <v>122</v>
      </c>
      <c r="I24" s="320">
        <f>SUM(I15:I21)</f>
        <v>14334.474</v>
      </c>
      <c r="J24" s="323">
        <f>SUM(J15:J21)</f>
        <v>2057.1999999999998</v>
      </c>
      <c r="K24" s="322">
        <f>SUM(K15:K21)</f>
        <v>9000.9</v>
      </c>
      <c r="L24" s="322">
        <f>SUM(L15:L21)</f>
        <v>2544.6999999999998</v>
      </c>
      <c r="M24" s="321">
        <f>SUM(J24:L24)</f>
        <v>13602.8</v>
      </c>
      <c r="N24" s="320">
        <f>SUM(N15:N21)</f>
        <v>305</v>
      </c>
      <c r="O24" s="320">
        <f>SUM(O15:O21)</f>
        <v>13907.8</v>
      </c>
      <c r="P24" s="323">
        <f>SUM(P15:P21)</f>
        <v>1328.6</v>
      </c>
      <c r="Q24" s="322">
        <f>SUM(Q15:Q21)</f>
        <v>4587.3</v>
      </c>
      <c r="R24" s="322">
        <f>SUM(R15:R21)+0.1</f>
        <v>1011.8</v>
      </c>
      <c r="S24" s="321">
        <f>SUM(P24:R24)</f>
        <v>6927.7</v>
      </c>
      <c r="T24" s="320">
        <f>SUM(T15:T21)</f>
        <v>16.3</v>
      </c>
      <c r="U24" s="320">
        <f>SUM(U15:U21)+0.1</f>
        <v>6944.0000000000009</v>
      </c>
      <c r="V24" s="323">
        <f>SUM(V15:V21)</f>
        <v>1496</v>
      </c>
      <c r="W24" s="322">
        <f>SUM(W15:W21)</f>
        <v>9000.9</v>
      </c>
      <c r="X24" s="322">
        <f>SUM(X15:X21)</f>
        <v>2857.002</v>
      </c>
      <c r="Y24" s="321">
        <f>SUM(V24:X24)</f>
        <v>13353.902</v>
      </c>
      <c r="Z24" s="320">
        <f>SUM(Z15:Z21)</f>
        <v>350</v>
      </c>
      <c r="AA24" s="320">
        <f>SUM(AA15:AA21)</f>
        <v>13703.902</v>
      </c>
      <c r="AB24" s="319">
        <f>(AA24/O24)</f>
        <v>0.98533930600094921</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c r="E28" s="287"/>
      <c r="F28" s="287">
        <v>163.43100000000001</v>
      </c>
      <c r="G28" s="286">
        <f>SUM(D28:F28)</f>
        <v>163.43100000000001</v>
      </c>
      <c r="H28" s="286"/>
      <c r="I28" s="285">
        <f>G28+H28</f>
        <v>163.43100000000001</v>
      </c>
      <c r="J28" s="288">
        <v>600</v>
      </c>
      <c r="K28" s="287"/>
      <c r="L28" s="287">
        <v>218</v>
      </c>
      <c r="M28" s="286">
        <f>SUM(J28:L28)</f>
        <v>818</v>
      </c>
      <c r="N28" s="286">
        <v>245</v>
      </c>
      <c r="O28" s="285">
        <f>M28+N28</f>
        <v>1063</v>
      </c>
      <c r="P28" s="288"/>
      <c r="Q28" s="287"/>
      <c r="R28" s="287">
        <v>104</v>
      </c>
      <c r="S28" s="286">
        <f>SUM(P28:R28)</f>
        <v>104</v>
      </c>
      <c r="T28" s="286"/>
      <c r="U28" s="285">
        <f>S28+T28</f>
        <v>104</v>
      </c>
      <c r="V28" s="288"/>
      <c r="W28" s="287"/>
      <c r="X28" s="287">
        <v>250</v>
      </c>
      <c r="Y28" s="286">
        <f>SUM(V28:X28)</f>
        <v>250</v>
      </c>
      <c r="Z28" s="286">
        <v>300</v>
      </c>
      <c r="AA28" s="285">
        <f>Y28+Z28</f>
        <v>550</v>
      </c>
      <c r="AB28" s="232">
        <f>(AA28/O28)</f>
        <v>0.51740357478833487</v>
      </c>
      <c r="AC28" s="178"/>
      <c r="AD28" s="178"/>
    </row>
    <row r="29" spans="1:30" x14ac:dyDescent="0.25">
      <c r="A29" s="180"/>
      <c r="B29" s="274" t="s">
        <v>56</v>
      </c>
      <c r="C29" s="284" t="s">
        <v>55</v>
      </c>
      <c r="D29" s="282"/>
      <c r="E29" s="282">
        <v>505.11399999999998</v>
      </c>
      <c r="F29" s="282">
        <v>395.50599999999997</v>
      </c>
      <c r="G29" s="263">
        <f>SUM(D29:F29)</f>
        <v>900.61999999999989</v>
      </c>
      <c r="H29" s="281"/>
      <c r="I29" s="266">
        <f>G29+H29</f>
        <v>900.61999999999989</v>
      </c>
      <c r="J29" s="283">
        <v>170.9</v>
      </c>
      <c r="K29" s="282"/>
      <c r="L29" s="282">
        <v>459.3</v>
      </c>
      <c r="M29" s="263">
        <f>SUM(J29:L29)</f>
        <v>630.20000000000005</v>
      </c>
      <c r="N29" s="281"/>
      <c r="O29" s="266">
        <f>M29+N29</f>
        <v>630.20000000000005</v>
      </c>
      <c r="P29" s="283">
        <v>11.8</v>
      </c>
      <c r="Q29" s="282">
        <v>28.3</v>
      </c>
      <c r="R29" s="282">
        <v>44.5</v>
      </c>
      <c r="S29" s="263">
        <f>SUM(P29:R29)</f>
        <v>84.6</v>
      </c>
      <c r="T29" s="281"/>
      <c r="U29" s="266">
        <f>S29+T29</f>
        <v>84.6</v>
      </c>
      <c r="V29" s="283">
        <v>229</v>
      </c>
      <c r="W29" s="282"/>
      <c r="X29" s="282">
        <v>250</v>
      </c>
      <c r="Y29" s="263">
        <f>SUM(V29:X29)</f>
        <v>479</v>
      </c>
      <c r="Z29" s="281"/>
      <c r="AA29" s="266">
        <f>Y29+Z29</f>
        <v>479</v>
      </c>
      <c r="AB29" s="232">
        <f>(AA29/O29)</f>
        <v>0.76007616629641384</v>
      </c>
      <c r="AC29" s="178"/>
      <c r="AD29" s="178"/>
    </row>
    <row r="30" spans="1:30" x14ac:dyDescent="0.25">
      <c r="A30" s="180"/>
      <c r="B30" s="274" t="s">
        <v>54</v>
      </c>
      <c r="C30" s="273" t="s">
        <v>53</v>
      </c>
      <c r="D30" s="267">
        <v>275.60000000000002</v>
      </c>
      <c r="E30" s="267"/>
      <c r="F30" s="267">
        <v>414.8</v>
      </c>
      <c r="G30" s="263">
        <f>SUM(D30:F30)</f>
        <v>690.40000000000009</v>
      </c>
      <c r="H30" s="263">
        <v>34.299999999999997</v>
      </c>
      <c r="I30" s="266">
        <f>G30+H30</f>
        <v>724.7</v>
      </c>
      <c r="J30" s="268">
        <v>650</v>
      </c>
      <c r="K30" s="267"/>
      <c r="L30" s="267">
        <v>45</v>
      </c>
      <c r="M30" s="263">
        <f>SUM(J30:L30)</f>
        <v>695</v>
      </c>
      <c r="N30" s="263">
        <v>60</v>
      </c>
      <c r="O30" s="266">
        <f>M30+N30</f>
        <v>755</v>
      </c>
      <c r="P30" s="268"/>
      <c r="Q30" s="267"/>
      <c r="R30" s="267">
        <v>407.5</v>
      </c>
      <c r="S30" s="263">
        <f>SUM(P30:R30)</f>
        <v>407.5</v>
      </c>
      <c r="T30" s="263">
        <v>1.4</v>
      </c>
      <c r="U30" s="266">
        <f>S30+T30</f>
        <v>408.9</v>
      </c>
      <c r="V30" s="268">
        <v>610</v>
      </c>
      <c r="W30" s="267"/>
      <c r="X30" s="267">
        <v>245</v>
      </c>
      <c r="Y30" s="263">
        <f>SUM(V30:X30)</f>
        <v>855</v>
      </c>
      <c r="Z30" s="263">
        <v>50</v>
      </c>
      <c r="AA30" s="266">
        <f>Y30+Z30</f>
        <v>905</v>
      </c>
      <c r="AB30" s="232">
        <f>(AA30/O30)</f>
        <v>1.1986754966887416</v>
      </c>
      <c r="AC30" s="178"/>
      <c r="AD30" s="178"/>
    </row>
    <row r="31" spans="1:30" x14ac:dyDescent="0.25">
      <c r="A31" s="180"/>
      <c r="B31" s="274" t="s">
        <v>51</v>
      </c>
      <c r="C31" s="273" t="s">
        <v>50</v>
      </c>
      <c r="D31" s="267">
        <v>150</v>
      </c>
      <c r="E31" s="267">
        <f>10.834+51.924+187</f>
        <v>249.75799999999998</v>
      </c>
      <c r="F31" s="267">
        <v>551.89599999999996</v>
      </c>
      <c r="G31" s="263">
        <f>SUM(D31:F31)</f>
        <v>951.654</v>
      </c>
      <c r="H31" s="263"/>
      <c r="I31" s="266">
        <f>G31+H31</f>
        <v>951.654</v>
      </c>
      <c r="J31" s="268">
        <v>231</v>
      </c>
      <c r="K31" s="267"/>
      <c r="L31" s="267">
        <v>810</v>
      </c>
      <c r="M31" s="263">
        <f>SUM(J31:L31)</f>
        <v>1041</v>
      </c>
      <c r="N31" s="263"/>
      <c r="O31" s="266">
        <f>M31+N31</f>
        <v>1041</v>
      </c>
      <c r="P31" s="268">
        <v>172.9</v>
      </c>
      <c r="Q31" s="267">
        <v>8</v>
      </c>
      <c r="R31" s="267"/>
      <c r="S31" s="263">
        <f>SUM(P31:R31)</f>
        <v>180.9</v>
      </c>
      <c r="T31" s="263"/>
      <c r="U31" s="266">
        <f>S31+T31</f>
        <v>180.9</v>
      </c>
      <c r="V31" s="268">
        <v>314.7</v>
      </c>
      <c r="W31" s="267"/>
      <c r="X31" s="267">
        <v>810</v>
      </c>
      <c r="Y31" s="263">
        <f>SUM(V31:X31)</f>
        <v>1124.7</v>
      </c>
      <c r="Z31" s="263"/>
      <c r="AA31" s="266">
        <f>Y31+Z31</f>
        <v>1124.7</v>
      </c>
      <c r="AB31" s="232">
        <f>(AA31/O31)</f>
        <v>1.0804034582132565</v>
      </c>
      <c r="AC31" s="178"/>
      <c r="AD31" s="178"/>
    </row>
    <row r="32" spans="1:30" x14ac:dyDescent="0.25">
      <c r="A32" s="180"/>
      <c r="B32" s="274" t="s">
        <v>49</v>
      </c>
      <c r="C32" s="273" t="s">
        <v>48</v>
      </c>
      <c r="D32" s="277">
        <v>150</v>
      </c>
      <c r="E32" s="267">
        <f>E33+E34</f>
        <v>7227.6330000000007</v>
      </c>
      <c r="F32" s="267">
        <f>F33+F34</f>
        <v>53.819000000000003</v>
      </c>
      <c r="G32" s="263">
        <f>SUM(D32:F32)</f>
        <v>7431.4520000000011</v>
      </c>
      <c r="H32" s="263"/>
      <c r="I32" s="266">
        <f>G32+H32</f>
        <v>7431.4520000000011</v>
      </c>
      <c r="J32" s="275">
        <v>128</v>
      </c>
      <c r="K32" s="267">
        <v>6606.2</v>
      </c>
      <c r="L32" s="267">
        <v>250</v>
      </c>
      <c r="M32" s="263">
        <f>SUM(J32:L32)</f>
        <v>6984.2</v>
      </c>
      <c r="N32" s="263"/>
      <c r="O32" s="266">
        <f>M32+N32</f>
        <v>6984.2</v>
      </c>
      <c r="P32" s="275"/>
      <c r="Q32" s="267">
        <f>Q33+Q34</f>
        <v>3517.4</v>
      </c>
      <c r="R32" s="267"/>
      <c r="S32" s="263">
        <f>SUM(P32:R32)</f>
        <v>3517.4</v>
      </c>
      <c r="T32" s="263"/>
      <c r="U32" s="266">
        <f>S32+T32</f>
        <v>3517.4</v>
      </c>
      <c r="V32" s="275">
        <v>102</v>
      </c>
      <c r="W32" s="267">
        <f>6426.23+180</f>
        <v>6606.23</v>
      </c>
      <c r="X32" s="267">
        <v>250</v>
      </c>
      <c r="Y32" s="263">
        <f>SUM(V32:X32)</f>
        <v>6958.23</v>
      </c>
      <c r="Z32" s="263"/>
      <c r="AA32" s="266">
        <f>Y32+Z32</f>
        <v>6958.23</v>
      </c>
      <c r="AB32" s="232">
        <f>(AA32/O32)</f>
        <v>0.99628160705592617</v>
      </c>
      <c r="AC32" s="178"/>
      <c r="AD32" s="178"/>
    </row>
    <row r="33" spans="1:30" x14ac:dyDescent="0.25">
      <c r="A33" s="180"/>
      <c r="B33" s="274" t="s">
        <v>47</v>
      </c>
      <c r="C33" s="280" t="s">
        <v>46</v>
      </c>
      <c r="D33" s="277">
        <v>150</v>
      </c>
      <c r="E33" s="267">
        <v>6616.9930000000004</v>
      </c>
      <c r="F33" s="267">
        <v>36.820999999999998</v>
      </c>
      <c r="G33" s="263">
        <f>SUM(D33:F33)</f>
        <v>6803.8140000000003</v>
      </c>
      <c r="H33" s="263"/>
      <c r="I33" s="266">
        <f>G33+H33</f>
        <v>6803.8140000000003</v>
      </c>
      <c r="J33" s="275">
        <v>128</v>
      </c>
      <c r="K33" s="267">
        <v>6426.2</v>
      </c>
      <c r="L33" s="267">
        <v>150</v>
      </c>
      <c r="M33" s="263">
        <f>SUM(J33:L33)</f>
        <v>6704.2</v>
      </c>
      <c r="N33" s="263"/>
      <c r="O33" s="266">
        <f>M33+N33</f>
        <v>6704.2</v>
      </c>
      <c r="P33" s="275"/>
      <c r="Q33" s="267">
        <v>3262.9</v>
      </c>
      <c r="R33" s="267"/>
      <c r="S33" s="263">
        <f>SUM(P33:R33)</f>
        <v>3262.9</v>
      </c>
      <c r="T33" s="263"/>
      <c r="U33" s="266">
        <f>S33+T33</f>
        <v>3262.9</v>
      </c>
      <c r="V33" s="275">
        <v>102</v>
      </c>
      <c r="W33" s="267">
        <v>6426.2</v>
      </c>
      <c r="X33" s="267">
        <v>150</v>
      </c>
      <c r="Y33" s="263">
        <f>SUM(V33:X33)</f>
        <v>6678.2</v>
      </c>
      <c r="Z33" s="263"/>
      <c r="AA33" s="266">
        <f>Y33+Z33</f>
        <v>6678.2</v>
      </c>
      <c r="AB33" s="232">
        <f>(AA33/O33)</f>
        <v>0.99612183407416244</v>
      </c>
      <c r="AC33" s="178"/>
      <c r="AD33" s="178"/>
    </row>
    <row r="34" spans="1:30" x14ac:dyDescent="0.25">
      <c r="A34" s="180"/>
      <c r="B34" s="274" t="s">
        <v>45</v>
      </c>
      <c r="C34" s="278" t="s">
        <v>44</v>
      </c>
      <c r="D34" s="277"/>
      <c r="E34" s="267">
        <v>610.64</v>
      </c>
      <c r="F34" s="267">
        <v>16.998000000000001</v>
      </c>
      <c r="G34" s="263">
        <f>SUM(D34:F34)</f>
        <v>627.63800000000003</v>
      </c>
      <c r="H34" s="263"/>
      <c r="I34" s="266">
        <f>G34+H34</f>
        <v>627.63800000000003</v>
      </c>
      <c r="J34" s="275"/>
      <c r="K34" s="267">
        <v>180</v>
      </c>
      <c r="L34" s="267">
        <v>100</v>
      </c>
      <c r="M34" s="263">
        <f>SUM(J34:L34)</f>
        <v>280</v>
      </c>
      <c r="N34" s="263"/>
      <c r="O34" s="266">
        <f>M34+N34</f>
        <v>280</v>
      </c>
      <c r="P34" s="275" t="s">
        <v>52</v>
      </c>
      <c r="Q34" s="267">
        <v>254.5</v>
      </c>
      <c r="R34" s="267"/>
      <c r="S34" s="263">
        <f>SUM(P34:R34)</f>
        <v>254.5</v>
      </c>
      <c r="T34" s="263"/>
      <c r="U34" s="266">
        <f>S34+T34</f>
        <v>254.5</v>
      </c>
      <c r="V34" s="275" t="s">
        <v>52</v>
      </c>
      <c r="W34" s="267">
        <v>180</v>
      </c>
      <c r="X34" s="267">
        <v>100</v>
      </c>
      <c r="Y34" s="263">
        <f>SUM(V34:X34)</f>
        <v>280</v>
      </c>
      <c r="Z34" s="263"/>
      <c r="AA34" s="266">
        <f>Y34+Z34</f>
        <v>280</v>
      </c>
      <c r="AB34" s="232">
        <f>(AA34/O34)</f>
        <v>1</v>
      </c>
      <c r="AC34" s="178"/>
      <c r="AD34" s="178"/>
    </row>
    <row r="35" spans="1:30" x14ac:dyDescent="0.25">
      <c r="A35" s="180"/>
      <c r="B35" s="274" t="s">
        <v>43</v>
      </c>
      <c r="C35" s="273" t="s">
        <v>42</v>
      </c>
      <c r="D35" s="277">
        <v>51</v>
      </c>
      <c r="E35" s="267">
        <v>2332.5819999999999</v>
      </c>
      <c r="F35" s="267">
        <f>10.2+3.673</f>
        <v>13.872999999999999</v>
      </c>
      <c r="G35" s="263">
        <f>SUM(D35:F35)</f>
        <v>2397.4549999999999</v>
      </c>
      <c r="H35" s="263"/>
      <c r="I35" s="266">
        <f>G35+H35</f>
        <v>2397.4549999999999</v>
      </c>
      <c r="J35" s="275">
        <v>68</v>
      </c>
      <c r="K35" s="267">
        <v>2232.9</v>
      </c>
      <c r="L35" s="267">
        <v>54</v>
      </c>
      <c r="M35" s="263">
        <f>SUM(J35:L35)</f>
        <v>2354.9</v>
      </c>
      <c r="N35" s="263"/>
      <c r="O35" s="266">
        <f>M35+N35</f>
        <v>2354.9</v>
      </c>
      <c r="P35" s="275"/>
      <c r="Q35" s="267">
        <v>1128.5999999999999</v>
      </c>
      <c r="R35" s="267"/>
      <c r="S35" s="263">
        <f>SUM(P35:R35)</f>
        <v>1128.5999999999999</v>
      </c>
      <c r="T35" s="263"/>
      <c r="U35" s="266">
        <f>S35+T35</f>
        <v>1128.5999999999999</v>
      </c>
      <c r="V35" s="275">
        <v>35</v>
      </c>
      <c r="W35" s="267">
        <v>2232.9</v>
      </c>
      <c r="X35" s="267">
        <v>54</v>
      </c>
      <c r="Y35" s="263">
        <f>SUM(V35:X35)</f>
        <v>2321.9</v>
      </c>
      <c r="Z35" s="263"/>
      <c r="AA35" s="266">
        <f>Y35+Z35</f>
        <v>2321.9</v>
      </c>
      <c r="AB35" s="232">
        <f>(AA35/O35)</f>
        <v>0.98598666610047137</v>
      </c>
      <c r="AC35" s="178"/>
      <c r="AD35" s="178"/>
    </row>
    <row r="36" spans="1:30" x14ac:dyDescent="0.25">
      <c r="A36" s="180"/>
      <c r="B36" s="274" t="s">
        <v>41</v>
      </c>
      <c r="C36" s="273" t="s">
        <v>40</v>
      </c>
      <c r="D36" s="267" t="s">
        <v>52</v>
      </c>
      <c r="E36" s="267"/>
      <c r="F36" s="267"/>
      <c r="G36" s="263">
        <f>SUM(D36:F36)</f>
        <v>0</v>
      </c>
      <c r="H36" s="263"/>
      <c r="I36" s="266">
        <f>G36+H36</f>
        <v>0</v>
      </c>
      <c r="J36" s="268"/>
      <c r="K36" s="267"/>
      <c r="L36" s="267">
        <v>11</v>
      </c>
      <c r="M36" s="263">
        <f>SUM(J36:L36)</f>
        <v>11</v>
      </c>
      <c r="N36" s="263"/>
      <c r="O36" s="266">
        <f>M36+N36</f>
        <v>11</v>
      </c>
      <c r="P36" s="268"/>
      <c r="Q36" s="267"/>
      <c r="R36" s="267"/>
      <c r="S36" s="263">
        <f>SUM(P36:R36)</f>
        <v>0</v>
      </c>
      <c r="T36" s="263"/>
      <c r="U36" s="266">
        <f>S36+T36</f>
        <v>0</v>
      </c>
      <c r="V36" s="268"/>
      <c r="W36" s="267"/>
      <c r="X36" s="267">
        <v>10</v>
      </c>
      <c r="Y36" s="263">
        <f>SUM(V36:X36)</f>
        <v>10</v>
      </c>
      <c r="Z36" s="263"/>
      <c r="AA36" s="266">
        <f>Y36+Z36</f>
        <v>10</v>
      </c>
      <c r="AB36" s="232">
        <f>(AA36/O36)</f>
        <v>0.90909090909090906</v>
      </c>
      <c r="AC36" s="178"/>
      <c r="AD36" s="178"/>
    </row>
    <row r="37" spans="1:30" x14ac:dyDescent="0.25">
      <c r="A37" s="180"/>
      <c r="B37" s="274" t="s">
        <v>39</v>
      </c>
      <c r="C37" s="273" t="s">
        <v>38</v>
      </c>
      <c r="D37" s="267">
        <f>140.556+44.832</f>
        <v>185.38800000000001</v>
      </c>
      <c r="E37" s="267"/>
      <c r="F37" s="267">
        <f>7.02+64.416</f>
        <v>71.435999999999993</v>
      </c>
      <c r="G37" s="263">
        <f>SUM(D37:F37)</f>
        <v>256.82400000000001</v>
      </c>
      <c r="H37" s="263"/>
      <c r="I37" s="266">
        <f>G37+H37</f>
        <v>256.82400000000001</v>
      </c>
      <c r="J37" s="268">
        <v>205.3</v>
      </c>
      <c r="K37" s="267"/>
      <c r="L37" s="267">
        <v>41.7</v>
      </c>
      <c r="M37" s="263">
        <f>SUM(J37:L37)</f>
        <v>247</v>
      </c>
      <c r="N37" s="263"/>
      <c r="O37" s="266">
        <f>M37+N37</f>
        <v>247</v>
      </c>
      <c r="P37" s="268">
        <v>102.7</v>
      </c>
      <c r="Q37" s="267"/>
      <c r="R37" s="267">
        <v>196.8</v>
      </c>
      <c r="S37" s="263">
        <f>SUM(P37:R37)</f>
        <v>299.5</v>
      </c>
      <c r="T37" s="263"/>
      <c r="U37" s="266">
        <f>S37+T37</f>
        <v>299.5</v>
      </c>
      <c r="V37" s="268">
        <v>205.33199999999999</v>
      </c>
      <c r="W37" s="267"/>
      <c r="X37" s="267">
        <v>393.51600000000002</v>
      </c>
      <c r="Y37" s="263">
        <f>SUM(V37:X37)</f>
        <v>598.84799999999996</v>
      </c>
      <c r="Z37" s="263"/>
      <c r="AA37" s="266">
        <f>Y37+Z37</f>
        <v>598.84799999999996</v>
      </c>
      <c r="AB37" s="232">
        <f>(AA37/O37)</f>
        <v>2.4244858299595138</v>
      </c>
      <c r="AC37" s="178"/>
      <c r="AD37" s="178"/>
    </row>
    <row r="38" spans="1:30" ht="15.75" thickBot="1" x14ac:dyDescent="0.3">
      <c r="A38" s="180"/>
      <c r="B38" s="265" t="s">
        <v>37</v>
      </c>
      <c r="C38" s="264" t="s">
        <v>36</v>
      </c>
      <c r="D38" s="257">
        <v>3</v>
      </c>
      <c r="E38" s="257">
        <v>1106.3</v>
      </c>
      <c r="F38" s="257">
        <v>171.99299999999999</v>
      </c>
      <c r="G38" s="263">
        <f>SUM(D38:F38)</f>
        <v>1281.2929999999999</v>
      </c>
      <c r="H38" s="256"/>
      <c r="I38" s="255">
        <f>G38+H38</f>
        <v>1281.2929999999999</v>
      </c>
      <c r="J38" s="258">
        <v>4</v>
      </c>
      <c r="K38" s="257">
        <v>161.80000000000001</v>
      </c>
      <c r="L38" s="257">
        <v>655.7</v>
      </c>
      <c r="M38" s="256">
        <f>SUM(J38:L38)</f>
        <v>821.5</v>
      </c>
      <c r="N38" s="256"/>
      <c r="O38" s="255">
        <f>M38+N38</f>
        <v>821.5</v>
      </c>
      <c r="P38" s="258"/>
      <c r="Q38" s="257">
        <v>81</v>
      </c>
      <c r="R38" s="257">
        <v>104.5</v>
      </c>
      <c r="S38" s="256">
        <f>SUM(P38:R38)</f>
        <v>185.5</v>
      </c>
      <c r="T38" s="256"/>
      <c r="U38" s="255">
        <f>S38+T38</f>
        <v>185.5</v>
      </c>
      <c r="V38" s="258"/>
      <c r="W38" s="257">
        <f>128.525+33.281</f>
        <v>161.80600000000001</v>
      </c>
      <c r="X38" s="257">
        <v>594.5</v>
      </c>
      <c r="Y38" s="256">
        <f>SUM(V38:X38)</f>
        <v>756.30600000000004</v>
      </c>
      <c r="Z38" s="256"/>
      <c r="AA38" s="255">
        <f>Y38+Z38</f>
        <v>756.30600000000004</v>
      </c>
      <c r="AB38" s="254">
        <f>(AA38/O38)</f>
        <v>0.92064029214850884</v>
      </c>
      <c r="AC38" s="178"/>
      <c r="AD38" s="178"/>
    </row>
    <row r="39" spans="1:30" ht="15.75" thickBot="1" x14ac:dyDescent="0.3">
      <c r="A39" s="180"/>
      <c r="B39" s="253" t="s">
        <v>35</v>
      </c>
      <c r="C39" s="252" t="s">
        <v>34</v>
      </c>
      <c r="D39" s="251">
        <f>SUM(D35:D38)+SUM(D28:D32)</f>
        <v>814.98800000000006</v>
      </c>
      <c r="E39" s="251">
        <f>SUM(E35:E38)+SUM(E28:E32)</f>
        <v>11421.387000000001</v>
      </c>
      <c r="F39" s="251">
        <f>SUM(F35:F38)+SUM(F28:F32)</f>
        <v>1836.7539999999999</v>
      </c>
      <c r="G39" s="250">
        <f>SUM(D39:F39)</f>
        <v>14073.129000000001</v>
      </c>
      <c r="H39" s="249">
        <f>SUM(H28:H32)+SUM(H35:H38)</f>
        <v>34.299999999999997</v>
      </c>
      <c r="I39" s="248">
        <f>SUM(I35:I38)+SUM(I28:I32)</f>
        <v>14107.429</v>
      </c>
      <c r="J39" s="251">
        <f>SUM(J35:J38)+SUM(J28:J32)</f>
        <v>2057.2000000000003</v>
      </c>
      <c r="K39" s="251">
        <f>SUM(K35:K38)+SUM(K28:K32)</f>
        <v>9000.9</v>
      </c>
      <c r="L39" s="251">
        <f>SUM(L35:L38)+SUM(L28:L32)</f>
        <v>2544.6999999999998</v>
      </c>
      <c r="M39" s="250">
        <f>SUM(J39:L39)</f>
        <v>13602.8</v>
      </c>
      <c r="N39" s="249">
        <f>SUM(N28:N32)+SUM(N35:N38)</f>
        <v>305</v>
      </c>
      <c r="O39" s="248">
        <f>SUM(O35:O38)+SUM(O28:O32)</f>
        <v>13907.8</v>
      </c>
      <c r="P39" s="251">
        <f>SUM(P35:P38)+SUM(P28:P32)</f>
        <v>287.40000000000003</v>
      </c>
      <c r="Q39" s="251">
        <f>SUM(Q35:Q38)+SUM(Q28:Q32)</f>
        <v>4763.3</v>
      </c>
      <c r="R39" s="251">
        <f>SUM(R35:R38)+SUM(R28:R32)</f>
        <v>857.3</v>
      </c>
      <c r="S39" s="250">
        <f>SUM(P39:R39)-0.1</f>
        <v>5907.9</v>
      </c>
      <c r="T39" s="249">
        <f>SUM(T28:T32)+SUM(T35:T38)</f>
        <v>1.4</v>
      </c>
      <c r="U39" s="248">
        <f>SUM(U35:U38)+SUM(U28:U32)</f>
        <v>5909.4</v>
      </c>
      <c r="V39" s="251">
        <f>SUM(V35:V38)+SUM(V28:V32)</f>
        <v>1496.0320000000002</v>
      </c>
      <c r="W39" s="251">
        <f>SUM(W35:W38)+SUM(W28:W32)</f>
        <v>9000.9359999999997</v>
      </c>
      <c r="X39" s="251">
        <f>SUM(X35:X38)+SUM(X28:X32)</f>
        <v>2857.0160000000001</v>
      </c>
      <c r="Y39" s="250">
        <f>SUM(V39:X39)-0.1</f>
        <v>13353.884</v>
      </c>
      <c r="Z39" s="249">
        <f>SUM(Z28:Z32)+SUM(Z35:Z38)</f>
        <v>350</v>
      </c>
      <c r="AA39" s="248">
        <f>SUM(AA35:AA38)+SUM(AA28:AA32)-0.1</f>
        <v>13703.884</v>
      </c>
      <c r="AB39" s="247">
        <f>(AA39/O39)</f>
        <v>0.98533801176318325</v>
      </c>
      <c r="AC39" s="178"/>
      <c r="AD39" s="178"/>
    </row>
    <row r="40" spans="1:30" ht="19.5" thickBot="1" x14ac:dyDescent="0.35">
      <c r="A40" s="180"/>
      <c r="B40" s="246" t="s">
        <v>33</v>
      </c>
      <c r="C40" s="245" t="s">
        <v>32</v>
      </c>
      <c r="D40" s="244">
        <f>D24-D39</f>
        <v>1.1999999999943611E-2</v>
      </c>
      <c r="E40" s="244">
        <f>E24-E39</f>
        <v>-895.21299999999974</v>
      </c>
      <c r="F40" s="244">
        <f>F24-F39</f>
        <v>1034.5460000000003</v>
      </c>
      <c r="G40" s="243">
        <f>G24-G39</f>
        <v>139.34500000000116</v>
      </c>
      <c r="H40" s="243">
        <f>H24-H39</f>
        <v>87.7</v>
      </c>
      <c r="I40" s="242">
        <f>I24-I39</f>
        <v>227.04500000000007</v>
      </c>
      <c r="J40" s="244">
        <f>J24-J39</f>
        <v>0</v>
      </c>
      <c r="K40" s="244">
        <f>K24-K39</f>
        <v>0</v>
      </c>
      <c r="L40" s="244">
        <f>L24-L39</f>
        <v>0</v>
      </c>
      <c r="M40" s="243">
        <f>M24-M39</f>
        <v>0</v>
      </c>
      <c r="N40" s="243">
        <f>N24-N39</f>
        <v>0</v>
      </c>
      <c r="O40" s="242">
        <f>O24-O39</f>
        <v>0</v>
      </c>
      <c r="P40" s="244">
        <f>P24-P39</f>
        <v>1041.1999999999998</v>
      </c>
      <c r="Q40" s="244">
        <f>Q24-Q39+0.1</f>
        <v>-175.9</v>
      </c>
      <c r="R40" s="244">
        <f>R24-R39</f>
        <v>154.5</v>
      </c>
      <c r="S40" s="243">
        <f>S24-S39</f>
        <v>1019.8000000000002</v>
      </c>
      <c r="T40" s="243">
        <f>T24-T39</f>
        <v>14.9</v>
      </c>
      <c r="U40" s="242">
        <f>U24-U39+0.1</f>
        <v>1034.7000000000012</v>
      </c>
      <c r="V40" s="244">
        <f>V24-V39</f>
        <v>-3.2000000000152795E-2</v>
      </c>
      <c r="W40" s="244">
        <f>W24-W39</f>
        <v>-3.6000000000058208E-2</v>
      </c>
      <c r="X40" s="244">
        <f>X24-X39</f>
        <v>-1.4000000000123691E-2</v>
      </c>
      <c r="Y40" s="243">
        <f>Y24-Y39</f>
        <v>1.8000000000029104E-2</v>
      </c>
      <c r="Z40" s="243">
        <f>Z24-Z39</f>
        <v>0</v>
      </c>
      <c r="AA40" s="242">
        <f>AA24-AA39</f>
        <v>1.8000000000029104E-2</v>
      </c>
      <c r="AB40" s="241" t="e">
        <f>(AA40/O40)</f>
        <v>#DIV/0!</v>
      </c>
      <c r="AC40" s="178"/>
      <c r="AD40" s="178"/>
    </row>
    <row r="41" spans="1:30" ht="15.75" thickBot="1" x14ac:dyDescent="0.3">
      <c r="A41" s="180"/>
      <c r="B41" s="240" t="s">
        <v>31</v>
      </c>
      <c r="C41" s="239" t="s">
        <v>30</v>
      </c>
      <c r="D41" s="237"/>
      <c r="E41" s="236"/>
      <c r="F41" s="236"/>
      <c r="G41" s="235"/>
      <c r="H41" s="238"/>
      <c r="I41" s="233">
        <f>I40-D16</f>
        <v>-587.95499999999993</v>
      </c>
      <c r="J41" s="237"/>
      <c r="K41" s="236"/>
      <c r="L41" s="236"/>
      <c r="M41" s="235"/>
      <c r="N41" s="234"/>
      <c r="O41" s="233">
        <f>O40-J16</f>
        <v>-1804.2</v>
      </c>
      <c r="P41" s="237"/>
      <c r="Q41" s="236"/>
      <c r="R41" s="236"/>
      <c r="S41" s="235"/>
      <c r="T41" s="234"/>
      <c r="U41" s="233">
        <f>U40-P16</f>
        <v>-167.39999999999873</v>
      </c>
      <c r="V41" s="237"/>
      <c r="W41" s="236"/>
      <c r="X41" s="236"/>
      <c r="Y41" s="235"/>
      <c r="Z41" s="234"/>
      <c r="AA41" s="233">
        <f>AA40-V16</f>
        <v>-1309.982</v>
      </c>
      <c r="AB41" s="232">
        <f>(AA41/O41)</f>
        <v>0.72607360603037352</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185.38800000000001</v>
      </c>
      <c r="E44" s="225">
        <v>185.38800000000001</v>
      </c>
      <c r="F44" s="224">
        <v>0</v>
      </c>
      <c r="G44" s="202"/>
      <c r="H44" s="202"/>
      <c r="I44" s="201"/>
      <c r="J44" s="214">
        <v>205.3</v>
      </c>
      <c r="K44" s="225">
        <v>205.3</v>
      </c>
      <c r="L44" s="224">
        <v>0</v>
      </c>
      <c r="M44" s="223"/>
      <c r="N44" s="223"/>
      <c r="O44" s="223"/>
      <c r="P44" s="214">
        <v>205.33199999999999</v>
      </c>
      <c r="Q44" s="225">
        <v>205.33199999999999</v>
      </c>
      <c r="R44" s="224">
        <v>0</v>
      </c>
      <c r="S44" s="178"/>
      <c r="T44" s="178"/>
      <c r="U44" s="178"/>
      <c r="V44" s="214">
        <v>205.3</v>
      </c>
      <c r="W44" s="225">
        <v>205.3</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f>D51+D52+D53+D54</f>
        <v>1904.5070000000001</v>
      </c>
      <c r="E50" s="210">
        <f>E51+E52+E53+E54</f>
        <v>1078.2759999999998</v>
      </c>
      <c r="F50" s="210">
        <f>F51+F52+F53+F54</f>
        <v>2023.277</v>
      </c>
      <c r="G50" s="210">
        <f>G51+G52+G53+G54</f>
        <v>959.50599999999997</v>
      </c>
      <c r="H50" s="202"/>
      <c r="I50" s="178"/>
      <c r="J50" s="210">
        <f>J51+J52+J53+J54</f>
        <v>1201.3000000000002</v>
      </c>
      <c r="K50" s="210">
        <f>K51+K52+K53+K54</f>
        <v>257</v>
      </c>
      <c r="L50" s="210">
        <f>L51+L52+L53+L54</f>
        <v>80</v>
      </c>
      <c r="M50" s="210">
        <f>M51+M52+M53+M54</f>
        <v>1378.3000000000002</v>
      </c>
      <c r="N50" s="178"/>
      <c r="O50" s="178"/>
      <c r="P50" s="210">
        <f>P51+P52+P53+P54</f>
        <v>959.5</v>
      </c>
      <c r="Q50" s="210">
        <f>Q51+Q52+Q53+Q54</f>
        <v>423.40000000000003</v>
      </c>
      <c r="R50" s="210">
        <f>R51+R52+R53+R54+0.1</f>
        <v>249.3</v>
      </c>
      <c r="S50" s="209">
        <f>P50+Q50-R50</f>
        <v>1133.6000000000001</v>
      </c>
      <c r="T50" s="178"/>
      <c r="U50" s="178"/>
      <c r="V50" s="210">
        <f>SUM(V51:V54)</f>
        <v>1388.74</v>
      </c>
      <c r="W50" s="210">
        <f>SUM(W51:W54)</f>
        <v>520.24199999999996</v>
      </c>
      <c r="X50" s="210">
        <f>SUM(X51:X54)</f>
        <v>285.33199999999999</v>
      </c>
      <c r="Y50" s="210">
        <f>SUM(Y51:Y54)</f>
        <v>1623.65</v>
      </c>
      <c r="Z50" s="178"/>
      <c r="AA50" s="178"/>
      <c r="AB50" s="178"/>
      <c r="AC50" s="178"/>
      <c r="AD50" s="178"/>
    </row>
    <row r="51" spans="1:30" x14ac:dyDescent="0.25">
      <c r="A51" s="180"/>
      <c r="B51" s="204"/>
      <c r="C51" s="206" t="s">
        <v>15</v>
      </c>
      <c r="D51" s="210">
        <v>1531.2</v>
      </c>
      <c r="E51" s="210">
        <f>7.7+161.5</f>
        <v>169.2</v>
      </c>
      <c r="F51" s="210">
        <v>1130.2</v>
      </c>
      <c r="G51" s="209">
        <f>D51+E51-F51</f>
        <v>570.20000000000005</v>
      </c>
      <c r="H51" s="202"/>
      <c r="I51" s="178"/>
      <c r="J51" s="210">
        <v>738.9</v>
      </c>
      <c r="K51" s="210">
        <v>120</v>
      </c>
      <c r="L51" s="210">
        <v>0</v>
      </c>
      <c r="M51" s="209">
        <f>J51+K51-L51</f>
        <v>858.9</v>
      </c>
      <c r="N51" s="178"/>
      <c r="O51" s="178"/>
      <c r="P51" s="210">
        <v>570.20000000000005</v>
      </c>
      <c r="Q51" s="210">
        <v>186.7</v>
      </c>
      <c r="R51" s="210">
        <v>0</v>
      </c>
      <c r="S51" s="209">
        <f>P51+Q51-R51</f>
        <v>756.90000000000009</v>
      </c>
      <c r="T51" s="178"/>
      <c r="U51" s="178"/>
      <c r="V51" s="210">
        <v>886</v>
      </c>
      <c r="W51" s="210">
        <v>130</v>
      </c>
      <c r="X51" s="210">
        <v>0</v>
      </c>
      <c r="Y51" s="209">
        <f>V51+W51-X51</f>
        <v>1016</v>
      </c>
      <c r="Z51" s="178"/>
      <c r="AA51" s="178"/>
      <c r="AB51" s="178"/>
      <c r="AC51" s="178"/>
      <c r="AD51" s="178"/>
    </row>
    <row r="52" spans="1:30" x14ac:dyDescent="0.25">
      <c r="A52" s="180"/>
      <c r="B52" s="204"/>
      <c r="C52" s="206" t="s">
        <v>14</v>
      </c>
      <c r="D52" s="210">
        <v>37.4</v>
      </c>
      <c r="E52" s="210">
        <f>200+187.4+360.2</f>
        <v>747.59999999999991</v>
      </c>
      <c r="F52" s="210">
        <f>597.8+185.4-0.1</f>
        <v>783.09999999999991</v>
      </c>
      <c r="G52" s="209">
        <f>D52+E52-F52</f>
        <v>1.8999999999999773</v>
      </c>
      <c r="H52" s="202"/>
      <c r="I52" s="178"/>
      <c r="J52" s="210">
        <v>44.5</v>
      </c>
      <c r="K52" s="210">
        <v>7</v>
      </c>
      <c r="L52" s="210">
        <v>0</v>
      </c>
      <c r="M52" s="209">
        <f>J52+K52-L52</f>
        <v>51.5</v>
      </c>
      <c r="N52" s="178"/>
      <c r="O52" s="178"/>
      <c r="P52" s="210">
        <v>1.9</v>
      </c>
      <c r="Q52" s="210">
        <v>125.9</v>
      </c>
      <c r="R52" s="210">
        <v>205.3</v>
      </c>
      <c r="S52" s="209">
        <f>P52+Q52-R52</f>
        <v>-77.5</v>
      </c>
      <c r="T52" s="178"/>
      <c r="U52" s="178"/>
      <c r="V52" s="210">
        <v>48.44</v>
      </c>
      <c r="W52" s="210">
        <v>251.84200000000001</v>
      </c>
      <c r="X52" s="210">
        <v>205.33199999999999</v>
      </c>
      <c r="Y52" s="209">
        <f>V52+W52-X52</f>
        <v>94.950000000000045</v>
      </c>
      <c r="Z52" s="178"/>
      <c r="AA52" s="178"/>
      <c r="AB52" s="178"/>
      <c r="AC52" s="178"/>
      <c r="AD52" s="178"/>
    </row>
    <row r="53" spans="1:30" x14ac:dyDescent="0.25">
      <c r="A53" s="180"/>
      <c r="B53" s="204"/>
      <c r="C53" s="206" t="s">
        <v>13</v>
      </c>
      <c r="D53" s="210">
        <v>220</v>
      </c>
      <c r="E53" s="210">
        <v>29</v>
      </c>
      <c r="F53" s="210">
        <v>0</v>
      </c>
      <c r="G53" s="209">
        <f>D53+E53-F53</f>
        <v>249</v>
      </c>
      <c r="H53" s="202"/>
      <c r="I53" s="178"/>
      <c r="J53" s="210">
        <v>249</v>
      </c>
      <c r="K53" s="210">
        <v>0</v>
      </c>
      <c r="L53" s="210">
        <v>0</v>
      </c>
      <c r="M53" s="209">
        <f>J53+K53-L53</f>
        <v>249</v>
      </c>
      <c r="N53" s="178"/>
      <c r="O53" s="178"/>
      <c r="P53" s="210">
        <v>249</v>
      </c>
      <c r="Q53" s="210">
        <v>45.5</v>
      </c>
      <c r="R53" s="210">
        <v>0</v>
      </c>
      <c r="S53" s="209">
        <f>P53+Q53-R53</f>
        <v>294.5</v>
      </c>
      <c r="T53" s="178"/>
      <c r="U53" s="178"/>
      <c r="V53" s="210">
        <v>294.5</v>
      </c>
      <c r="W53" s="210">
        <v>0</v>
      </c>
      <c r="X53" s="210">
        <v>0</v>
      </c>
      <c r="Y53" s="209">
        <f>V53+W53-X53</f>
        <v>294.5</v>
      </c>
      <c r="Z53" s="178"/>
      <c r="AA53" s="178"/>
      <c r="AB53" s="178"/>
      <c r="AC53" s="178"/>
      <c r="AD53" s="178"/>
    </row>
    <row r="54" spans="1:30" x14ac:dyDescent="0.25">
      <c r="A54" s="180"/>
      <c r="B54" s="204"/>
      <c r="C54" s="212" t="s">
        <v>12</v>
      </c>
      <c r="D54" s="210">
        <v>115.907</v>
      </c>
      <c r="E54" s="210">
        <v>132.476</v>
      </c>
      <c r="F54" s="210">
        <v>109.977</v>
      </c>
      <c r="G54" s="209">
        <f>D54+E54-F54</f>
        <v>138.40599999999998</v>
      </c>
      <c r="H54" s="202"/>
      <c r="I54" s="178"/>
      <c r="J54" s="210">
        <v>168.9</v>
      </c>
      <c r="K54" s="210">
        <v>130</v>
      </c>
      <c r="L54" s="210">
        <v>80</v>
      </c>
      <c r="M54" s="209">
        <f>J54+K54-L54</f>
        <v>218.89999999999998</v>
      </c>
      <c r="N54" s="178"/>
      <c r="O54" s="178"/>
      <c r="P54" s="210">
        <v>138.4</v>
      </c>
      <c r="Q54" s="210">
        <v>65.3</v>
      </c>
      <c r="R54" s="210">
        <v>43.9</v>
      </c>
      <c r="S54" s="209">
        <f>P54+Q54-R54</f>
        <v>159.79999999999998</v>
      </c>
      <c r="T54" s="178"/>
      <c r="U54" s="178"/>
      <c r="V54" s="210">
        <v>159.80000000000001</v>
      </c>
      <c r="W54" s="210">
        <v>138.4</v>
      </c>
      <c r="X54" s="210">
        <v>80</v>
      </c>
      <c r="Y54" s="209">
        <f>V54+W54-X54</f>
        <v>218.20000000000005</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16.125</v>
      </c>
      <c r="E57" s="205">
        <v>15.125</v>
      </c>
      <c r="F57" s="202"/>
      <c r="G57" s="202"/>
      <c r="H57" s="202"/>
      <c r="I57" s="201"/>
      <c r="J57" s="205">
        <v>16.100000000000001</v>
      </c>
      <c r="K57" s="202"/>
      <c r="L57" s="202"/>
      <c r="M57" s="202"/>
      <c r="N57" s="202"/>
      <c r="O57" s="201"/>
      <c r="P57" s="205">
        <v>15.125</v>
      </c>
      <c r="Q57" s="201"/>
      <c r="R57" s="201"/>
      <c r="S57" s="201"/>
      <c r="T57" s="201"/>
      <c r="U57" s="201"/>
      <c r="V57" s="205">
        <v>15.1</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c r="D91" s="179" t="s">
        <v>4</v>
      </c>
      <c r="E91" s="184"/>
      <c r="F91" s="184"/>
      <c r="G91" s="184"/>
      <c r="H91" s="179"/>
      <c r="I91" s="179" t="s">
        <v>2</v>
      </c>
      <c r="J91" s="183"/>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5">
    <mergeCell ref="B10:B13"/>
    <mergeCell ref="J10:O10"/>
    <mergeCell ref="J11:M11"/>
    <mergeCell ref="J12:O12"/>
    <mergeCell ref="J13:L13"/>
    <mergeCell ref="M13:M14"/>
    <mergeCell ref="N13:N14"/>
    <mergeCell ref="N26:N27"/>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91:G91"/>
    <mergeCell ref="J91:M91"/>
    <mergeCell ref="B63:U63"/>
    <mergeCell ref="B82:U82"/>
    <mergeCell ref="H26:H27"/>
    <mergeCell ref="I26:I27"/>
    <mergeCell ref="V10:AA10"/>
    <mergeCell ref="V25:AA25"/>
    <mergeCell ref="Y13:Y14"/>
    <mergeCell ref="Z13:Z14"/>
    <mergeCell ref="S13:S14"/>
    <mergeCell ref="T13:T14"/>
    <mergeCell ref="U13:U14"/>
    <mergeCell ref="P25:U25"/>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cfRule type="cellIs" dxfId="7" priority="3" operator="equal">
      <formula>0</formula>
    </cfRule>
    <cfRule type="containsErrors" dxfId="6" priority="4">
      <formula>ISERROR(AB15)</formula>
    </cfRule>
  </conditionalFormatting>
  <conditionalFormatting sqref="AB28:AB41">
    <cfRule type="cellIs" dxfId="5" priority="1" operator="equal">
      <formula>0</formula>
    </cfRule>
    <cfRule type="containsErrors" dxfId="4" priority="2">
      <formula>ISERROR(AB28)</formula>
    </cfRule>
  </conditionalFormatting>
  <pageMargins left="0.70866141732283472" right="0.70866141732283472" top="0.78740157480314965" bottom="0.78740157480314965" header="0.31496062992125984" footer="0.31496062992125984"/>
  <pageSetup paperSize="8"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D128"/>
  <sheetViews>
    <sheetView showGridLines="0" zoomScaleNormal="100" zoomScaleSheetLayoutView="80" workbookViewId="0">
      <selection activeCell="U46" sqref="U46"/>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115</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61345636</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114</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2579.1</v>
      </c>
      <c r="G15" s="366">
        <f>SUM(D15:F15)</f>
        <v>2579.1</v>
      </c>
      <c r="H15" s="352">
        <v>43</v>
      </c>
      <c r="I15" s="266">
        <f>G15+H15</f>
        <v>2622.1</v>
      </c>
      <c r="J15" s="365"/>
      <c r="K15" s="364"/>
      <c r="L15" s="363">
        <v>2800</v>
      </c>
      <c r="M15" s="362">
        <f>SUM(J15:L15)</f>
        <v>2800</v>
      </c>
      <c r="N15" s="352">
        <v>150</v>
      </c>
      <c r="O15" s="266">
        <f>M15+N15</f>
        <v>2950</v>
      </c>
      <c r="P15" s="365"/>
      <c r="Q15" s="364"/>
      <c r="R15" s="363">
        <f>1355.88+11.8</f>
        <v>1367.68</v>
      </c>
      <c r="S15" s="362">
        <f>SUM(P15:R15)</f>
        <v>1367.68</v>
      </c>
      <c r="T15" s="352">
        <v>0</v>
      </c>
      <c r="U15" s="266">
        <f>S15+T15</f>
        <v>1367.68</v>
      </c>
      <c r="V15" s="365"/>
      <c r="W15" s="364"/>
      <c r="X15" s="363">
        <v>2600</v>
      </c>
      <c r="Y15" s="362">
        <f>SUM(V15:X15)</f>
        <v>2600</v>
      </c>
      <c r="Z15" s="352">
        <v>150</v>
      </c>
      <c r="AA15" s="266">
        <f>Y15+Z15</f>
        <v>2750</v>
      </c>
      <c r="AB15" s="232">
        <f>(AA15/O15)</f>
        <v>0.93220338983050843</v>
      </c>
      <c r="AC15" s="178"/>
      <c r="AD15" s="178"/>
    </row>
    <row r="16" spans="1:30" x14ac:dyDescent="0.25">
      <c r="A16" s="180"/>
      <c r="B16" s="274" t="s">
        <v>86</v>
      </c>
      <c r="C16" s="361" t="s">
        <v>85</v>
      </c>
      <c r="D16" s="360">
        <v>1100</v>
      </c>
      <c r="E16" s="343"/>
      <c r="F16" s="343"/>
      <c r="G16" s="341">
        <f>SUM(D16:F16)</f>
        <v>1100</v>
      </c>
      <c r="H16" s="358"/>
      <c r="I16" s="266">
        <f>G16+H16</f>
        <v>1100</v>
      </c>
      <c r="J16" s="359">
        <v>1480.78</v>
      </c>
      <c r="K16" s="339"/>
      <c r="L16" s="339"/>
      <c r="M16" s="337">
        <f>SUM(J16:L16)</f>
        <v>1480.78</v>
      </c>
      <c r="N16" s="358"/>
      <c r="O16" s="266">
        <f>M16+N16</f>
        <v>1480.78</v>
      </c>
      <c r="P16" s="359">
        <v>740.39</v>
      </c>
      <c r="Q16" s="339"/>
      <c r="R16" s="339"/>
      <c r="S16" s="337">
        <f>SUM(P16:R16)</f>
        <v>740.39</v>
      </c>
      <c r="T16" s="358"/>
      <c r="U16" s="266">
        <f>S16+T16</f>
        <v>740.39</v>
      </c>
      <c r="V16" s="359">
        <v>1570</v>
      </c>
      <c r="W16" s="339"/>
      <c r="X16" s="339"/>
      <c r="Y16" s="337">
        <f>SUM(V16:X16)</f>
        <v>1570</v>
      </c>
      <c r="Z16" s="358"/>
      <c r="AA16" s="266">
        <f>Y16+Z16</f>
        <v>1570</v>
      </c>
      <c r="AB16" s="232">
        <f>(AA16/O16)</f>
        <v>1.0602520293358906</v>
      </c>
      <c r="AC16" s="178"/>
      <c r="AD16" s="178"/>
    </row>
    <row r="17" spans="1:30" x14ac:dyDescent="0.25">
      <c r="A17" s="180"/>
      <c r="B17" s="274" t="s">
        <v>84</v>
      </c>
      <c r="C17" s="357" t="s">
        <v>83</v>
      </c>
      <c r="D17" s="356">
        <v>200</v>
      </c>
      <c r="E17" s="350"/>
      <c r="F17" s="350"/>
      <c r="G17" s="341">
        <f>SUM(D17:F17)</f>
        <v>200</v>
      </c>
      <c r="H17" s="355"/>
      <c r="I17" s="266">
        <f>G17+H17</f>
        <v>200</v>
      </c>
      <c r="J17" s="356">
        <v>340</v>
      </c>
      <c r="K17" s="348"/>
      <c r="L17" s="348"/>
      <c r="M17" s="337">
        <f>SUM(J17:L17)</f>
        <v>340</v>
      </c>
      <c r="N17" s="355"/>
      <c r="O17" s="266">
        <f>M17+N17</f>
        <v>340</v>
      </c>
      <c r="P17" s="356">
        <v>170</v>
      </c>
      <c r="Q17" s="348"/>
      <c r="R17" s="348"/>
      <c r="S17" s="337">
        <f>SUM(P17:R17)</f>
        <v>170</v>
      </c>
      <c r="T17" s="355"/>
      <c r="U17" s="266">
        <f>S17+T17</f>
        <v>170</v>
      </c>
      <c r="V17" s="356">
        <v>216</v>
      </c>
      <c r="W17" s="348"/>
      <c r="X17" s="348"/>
      <c r="Y17" s="337">
        <f>SUM(V17:X17)</f>
        <v>216</v>
      </c>
      <c r="Z17" s="355"/>
      <c r="AA17" s="266">
        <f>Y17+Z17</f>
        <v>216</v>
      </c>
      <c r="AB17" s="232">
        <f>(AA17/O17)</f>
        <v>0.63529411764705879</v>
      </c>
      <c r="AC17" s="178"/>
      <c r="AD17" s="178"/>
    </row>
    <row r="18" spans="1:30" x14ac:dyDescent="0.25">
      <c r="A18" s="180"/>
      <c r="B18" s="274" t="s">
        <v>82</v>
      </c>
      <c r="C18" s="354" t="s">
        <v>81</v>
      </c>
      <c r="D18" s="344"/>
      <c r="E18" s="353">
        <v>22497.1</v>
      </c>
      <c r="F18" s="350"/>
      <c r="G18" s="341">
        <f>SUM(D18:F18)</f>
        <v>22497.1</v>
      </c>
      <c r="H18" s="352"/>
      <c r="I18" s="266">
        <f>G18+H18</f>
        <v>22497.1</v>
      </c>
      <c r="J18" s="340"/>
      <c r="K18" s="347">
        <v>24620</v>
      </c>
      <c r="L18" s="348"/>
      <c r="M18" s="337">
        <f>SUM(J18:L18)</f>
        <v>24620</v>
      </c>
      <c r="N18" s="352"/>
      <c r="O18" s="266">
        <f>M18+N18</f>
        <v>24620</v>
      </c>
      <c r="P18" s="340"/>
      <c r="Q18" s="347">
        <v>11727</v>
      </c>
      <c r="R18" s="348"/>
      <c r="S18" s="337">
        <f>SUM(P18:R18)</f>
        <v>11727</v>
      </c>
      <c r="T18" s="352"/>
      <c r="U18" s="266">
        <f>S18+T18</f>
        <v>11727</v>
      </c>
      <c r="V18" s="340"/>
      <c r="W18" s="347">
        <v>25950</v>
      </c>
      <c r="X18" s="348"/>
      <c r="Y18" s="337">
        <f>SUM(V18:X18)</f>
        <v>25950</v>
      </c>
      <c r="Z18" s="352"/>
      <c r="AA18" s="266">
        <f>Y18+Z18</f>
        <v>25950</v>
      </c>
      <c r="AB18" s="232">
        <f>(AA18/O18)</f>
        <v>1.0540211210398049</v>
      </c>
      <c r="AC18" s="178"/>
      <c r="AD18" s="178"/>
    </row>
    <row r="19" spans="1:30" x14ac:dyDescent="0.25">
      <c r="A19" s="180"/>
      <c r="B19" s="274" t="s">
        <v>80</v>
      </c>
      <c r="C19" s="280" t="s">
        <v>79</v>
      </c>
      <c r="D19" s="351"/>
      <c r="E19" s="350"/>
      <c r="F19" s="347">
        <v>56.8</v>
      </c>
      <c r="G19" s="341">
        <f>SUM(D19:F19)</f>
        <v>56.8</v>
      </c>
      <c r="H19" s="345"/>
      <c r="I19" s="266">
        <f>G19+H19</f>
        <v>56.8</v>
      </c>
      <c r="J19" s="349"/>
      <c r="K19" s="348"/>
      <c r="L19" s="347">
        <v>267</v>
      </c>
      <c r="M19" s="337">
        <f>SUM(J19:L19)</f>
        <v>267</v>
      </c>
      <c r="N19" s="345"/>
      <c r="O19" s="266">
        <f>M19+N19</f>
        <v>267</v>
      </c>
      <c r="P19" s="349"/>
      <c r="Q19" s="348"/>
      <c r="R19" s="347">
        <v>133.52000000000001</v>
      </c>
      <c r="S19" s="337">
        <f>SUM(P19:R19)</f>
        <v>133.52000000000001</v>
      </c>
      <c r="T19" s="345"/>
      <c r="U19" s="266">
        <f>S19+T19</f>
        <v>133.52000000000001</v>
      </c>
      <c r="V19" s="349"/>
      <c r="W19" s="348"/>
      <c r="X19" s="347">
        <v>267</v>
      </c>
      <c r="Y19" s="337">
        <f>SUM(V19:X19)</f>
        <v>267</v>
      </c>
      <c r="Z19" s="345"/>
      <c r="AA19" s="266">
        <f>Y19+Z19</f>
        <v>267</v>
      </c>
      <c r="AB19" s="232">
        <f>(AA19/O19)</f>
        <v>1</v>
      </c>
      <c r="AC19" s="178"/>
      <c r="AD19" s="178"/>
    </row>
    <row r="20" spans="1:30" x14ac:dyDescent="0.25">
      <c r="A20" s="180"/>
      <c r="B20" s="274" t="s">
        <v>78</v>
      </c>
      <c r="C20" s="346" t="s">
        <v>77</v>
      </c>
      <c r="D20" s="344"/>
      <c r="E20" s="343"/>
      <c r="F20" s="342">
        <v>176.4</v>
      </c>
      <c r="G20" s="341"/>
      <c r="H20" s="345"/>
      <c r="I20" s="266">
        <v>176.4</v>
      </c>
      <c r="J20" s="340"/>
      <c r="K20" s="339"/>
      <c r="L20" s="338">
        <v>100</v>
      </c>
      <c r="M20" s="337">
        <f>SUM(J20:L20)</f>
        <v>100</v>
      </c>
      <c r="N20" s="345"/>
      <c r="O20" s="266">
        <f>M20+N20</f>
        <v>100</v>
      </c>
      <c r="P20" s="340"/>
      <c r="Q20" s="339"/>
      <c r="R20" s="338"/>
      <c r="S20" s="337">
        <f>SUM(P20:R20)</f>
        <v>0</v>
      </c>
      <c r="T20" s="345"/>
      <c r="U20" s="266">
        <f>S20+T20</f>
        <v>0</v>
      </c>
      <c r="V20" s="340"/>
      <c r="W20" s="339"/>
      <c r="X20" s="338">
        <v>100</v>
      </c>
      <c r="Y20" s="337">
        <f>SUM(V20:X20)</f>
        <v>100</v>
      </c>
      <c r="Z20" s="345"/>
      <c r="AA20" s="266">
        <f>Y20+Z20</f>
        <v>100</v>
      </c>
      <c r="AB20" s="232">
        <f>(AA20/O20)</f>
        <v>1</v>
      </c>
      <c r="AC20" s="178"/>
      <c r="AD20" s="178"/>
    </row>
    <row r="21" spans="1:30" x14ac:dyDescent="0.25">
      <c r="A21" s="180"/>
      <c r="B21" s="274" t="s">
        <v>76</v>
      </c>
      <c r="C21" s="273" t="s">
        <v>75</v>
      </c>
      <c r="D21" s="344"/>
      <c r="E21" s="343"/>
      <c r="F21" s="342">
        <v>30</v>
      </c>
      <c r="G21" s="341">
        <f>SUM(D21:F21)</f>
        <v>30</v>
      </c>
      <c r="H21" s="336">
        <v>53.3</v>
      </c>
      <c r="I21" s="266">
        <f>G21+H21</f>
        <v>83.3</v>
      </c>
      <c r="J21" s="340"/>
      <c r="K21" s="339"/>
      <c r="L21" s="338">
        <v>200</v>
      </c>
      <c r="M21" s="337">
        <v>200</v>
      </c>
      <c r="N21" s="336"/>
      <c r="O21" s="266">
        <f>M21+N21</f>
        <v>200</v>
      </c>
      <c r="P21" s="340"/>
      <c r="Q21" s="339"/>
      <c r="R21" s="338">
        <v>0.76</v>
      </c>
      <c r="S21" s="337">
        <f>SUM(P21:R21)</f>
        <v>0.76</v>
      </c>
      <c r="T21" s="336">
        <v>21.5</v>
      </c>
      <c r="U21" s="266">
        <f>S21+T21</f>
        <v>22.26</v>
      </c>
      <c r="V21" s="340"/>
      <c r="W21" s="339"/>
      <c r="X21" s="338">
        <v>200</v>
      </c>
      <c r="Y21" s="337">
        <v>200</v>
      </c>
      <c r="Z21" s="336"/>
      <c r="AA21" s="266">
        <f>Y21+Z21</f>
        <v>200</v>
      </c>
      <c r="AB21" s="232">
        <f>(AA21/O21)</f>
        <v>1</v>
      </c>
      <c r="AC21" s="178"/>
      <c r="AD21" s="178"/>
    </row>
    <row r="22" spans="1:30" x14ac:dyDescent="0.25">
      <c r="A22" s="180"/>
      <c r="B22" s="274" t="s">
        <v>74</v>
      </c>
      <c r="C22" s="273" t="s">
        <v>73</v>
      </c>
      <c r="D22" s="344"/>
      <c r="E22" s="343"/>
      <c r="F22" s="342"/>
      <c r="G22" s="341">
        <f>SUM(D22:F22)</f>
        <v>0</v>
      </c>
      <c r="H22" s="336">
        <v>49.7</v>
      </c>
      <c r="I22" s="266">
        <f>G22+H22</f>
        <v>49.7</v>
      </c>
      <c r="J22" s="340"/>
      <c r="K22" s="339"/>
      <c r="L22" s="338">
        <v>50</v>
      </c>
      <c r="M22" s="337">
        <v>100</v>
      </c>
      <c r="N22" s="336"/>
      <c r="O22" s="266">
        <f>M22+N22</f>
        <v>100</v>
      </c>
      <c r="P22" s="340"/>
      <c r="Q22" s="339"/>
      <c r="R22" s="338"/>
      <c r="S22" s="337">
        <f>SUM(P22:R22)</f>
        <v>0</v>
      </c>
      <c r="T22" s="336">
        <v>21.5</v>
      </c>
      <c r="U22" s="266">
        <f>S22+T22</f>
        <v>21.5</v>
      </c>
      <c r="V22" s="340"/>
      <c r="W22" s="339"/>
      <c r="X22" s="338">
        <v>50</v>
      </c>
      <c r="Y22" s="337">
        <v>100</v>
      </c>
      <c r="Z22" s="336"/>
      <c r="AA22" s="266">
        <f>Y22+Z22</f>
        <v>100</v>
      </c>
      <c r="AB22" s="232">
        <f>(AA22/O22)</f>
        <v>1</v>
      </c>
      <c r="AC22" s="178"/>
      <c r="AD22" s="178"/>
    </row>
    <row r="23" spans="1:30" ht="15.75" thickBot="1" x14ac:dyDescent="0.3">
      <c r="A23" s="180"/>
      <c r="B23" s="335" t="s">
        <v>72</v>
      </c>
      <c r="C23" s="334" t="s">
        <v>71</v>
      </c>
      <c r="D23" s="333"/>
      <c r="E23" s="332"/>
      <c r="F23" s="331"/>
      <c r="G23" s="330">
        <f>SUM(D23:F23)</f>
        <v>0</v>
      </c>
      <c r="H23" s="325"/>
      <c r="I23" s="255">
        <f>G23+H23</f>
        <v>0</v>
      </c>
      <c r="J23" s="329"/>
      <c r="K23" s="328"/>
      <c r="L23" s="327"/>
      <c r="M23" s="326">
        <f>SUM(J23:L23)</f>
        <v>0</v>
      </c>
      <c r="N23" s="325"/>
      <c r="O23" s="255">
        <f>M23+N23</f>
        <v>0</v>
      </c>
      <c r="P23" s="329"/>
      <c r="Q23" s="328"/>
      <c r="R23" s="327"/>
      <c r="S23" s="326">
        <f>SUM(P23:R23)</f>
        <v>0</v>
      </c>
      <c r="T23" s="325"/>
      <c r="U23" s="255">
        <f>S23+T23</f>
        <v>0</v>
      </c>
      <c r="V23" s="329"/>
      <c r="W23" s="328"/>
      <c r="X23" s="327"/>
      <c r="Y23" s="326">
        <f>SUM(V23:X23)</f>
        <v>0</v>
      </c>
      <c r="Z23" s="325"/>
      <c r="AA23" s="255">
        <f>Y23+Z23</f>
        <v>0</v>
      </c>
      <c r="AB23" s="254" t="e">
        <f>(AA23/O23)</f>
        <v>#DIV/0!</v>
      </c>
      <c r="AC23" s="178"/>
      <c r="AD23" s="178"/>
    </row>
    <row r="24" spans="1:30" ht="15.75" thickBot="1" x14ac:dyDescent="0.3">
      <c r="A24" s="180"/>
      <c r="B24" s="253" t="s">
        <v>70</v>
      </c>
      <c r="C24" s="324" t="s">
        <v>69</v>
      </c>
      <c r="D24" s="323">
        <f>SUM(D15:D21)</f>
        <v>1300</v>
      </c>
      <c r="E24" s="322">
        <f>SUM(E15:E21)</f>
        <v>22497.1</v>
      </c>
      <c r="F24" s="322">
        <f>SUM(F15:F21)</f>
        <v>2842.3</v>
      </c>
      <c r="G24" s="321">
        <f>SUM(D24:F24)</f>
        <v>26639.399999999998</v>
      </c>
      <c r="H24" s="320">
        <f>SUM(H15:H21)</f>
        <v>96.3</v>
      </c>
      <c r="I24" s="320">
        <f>SUM(I15:I21)</f>
        <v>26735.699999999997</v>
      </c>
      <c r="J24" s="323">
        <f>SUM(J15:J21)</f>
        <v>1820.78</v>
      </c>
      <c r="K24" s="322">
        <f>SUM(K15:K21)</f>
        <v>24620</v>
      </c>
      <c r="L24" s="322">
        <f>SUM(L15:L21)</f>
        <v>3367</v>
      </c>
      <c r="M24" s="321">
        <f>SUM(J24:L24)</f>
        <v>29807.78</v>
      </c>
      <c r="N24" s="320">
        <f>SUM(N15:N21)</f>
        <v>150</v>
      </c>
      <c r="O24" s="320">
        <f>SUM(O15:O21)</f>
        <v>29957.78</v>
      </c>
      <c r="P24" s="323">
        <f>SUM(P15:P21)</f>
        <v>910.39</v>
      </c>
      <c r="Q24" s="322">
        <f>SUM(Q15:Q21)</f>
        <v>11727</v>
      </c>
      <c r="R24" s="322">
        <f>SUM(R15:R21)</f>
        <v>1501.96</v>
      </c>
      <c r="S24" s="321">
        <f>SUM(P24:R24)</f>
        <v>14139.349999999999</v>
      </c>
      <c r="T24" s="320">
        <f>SUM(T15:T21)</f>
        <v>21.5</v>
      </c>
      <c r="U24" s="320">
        <f>SUM(U15:U21)</f>
        <v>14160.85</v>
      </c>
      <c r="V24" s="323">
        <f>SUM(V15:V21)</f>
        <v>1786</v>
      </c>
      <c r="W24" s="322">
        <f>SUM(W15:W21)</f>
        <v>25950</v>
      </c>
      <c r="X24" s="322">
        <f>SUM(X15:X21)</f>
        <v>3167</v>
      </c>
      <c r="Y24" s="321">
        <f>SUM(V24:X24)</f>
        <v>30903</v>
      </c>
      <c r="Z24" s="320">
        <f>SUM(Z15:Z21)</f>
        <v>150</v>
      </c>
      <c r="AA24" s="320">
        <f>SUM(AA15:AA21)</f>
        <v>31053</v>
      </c>
      <c r="AB24" s="319">
        <f>(AA24/O24)</f>
        <v>1.0365587837283003</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c r="E28" s="287"/>
      <c r="F28" s="287">
        <v>593.5</v>
      </c>
      <c r="G28" s="286">
        <f>SUM(D28:F28)</f>
        <v>593.5</v>
      </c>
      <c r="H28" s="286"/>
      <c r="I28" s="285">
        <f>G28+H28</f>
        <v>593.5</v>
      </c>
      <c r="J28" s="291"/>
      <c r="K28" s="290"/>
      <c r="L28" s="290">
        <v>600</v>
      </c>
      <c r="M28" s="289">
        <f>SUM(J28:L28)</f>
        <v>600</v>
      </c>
      <c r="N28" s="289"/>
      <c r="O28" s="292">
        <f>M28+N28</f>
        <v>600</v>
      </c>
      <c r="P28" s="291"/>
      <c r="Q28" s="290"/>
      <c r="R28" s="290">
        <v>5.7590000000000003</v>
      </c>
      <c r="S28" s="289">
        <f>SUM(P28:R28)</f>
        <v>5.7590000000000003</v>
      </c>
      <c r="T28" s="286"/>
      <c r="U28" s="285">
        <f>S28+T28</f>
        <v>5.7590000000000003</v>
      </c>
      <c r="V28" s="288"/>
      <c r="W28" s="287"/>
      <c r="X28" s="287">
        <v>600</v>
      </c>
      <c r="Y28" s="286">
        <f>SUM(V28:X28)</f>
        <v>600</v>
      </c>
      <c r="Z28" s="286"/>
      <c r="AA28" s="285">
        <f>Y28+Z28</f>
        <v>600</v>
      </c>
      <c r="AB28" s="232">
        <f>(AA28/O28)</f>
        <v>1</v>
      </c>
      <c r="AC28" s="178"/>
      <c r="AD28" s="178"/>
    </row>
    <row r="29" spans="1:30" x14ac:dyDescent="0.25">
      <c r="A29" s="180"/>
      <c r="B29" s="274" t="s">
        <v>56</v>
      </c>
      <c r="C29" s="284" t="s">
        <v>55</v>
      </c>
      <c r="D29" s="282"/>
      <c r="E29" s="282"/>
      <c r="F29" s="282">
        <v>244.9</v>
      </c>
      <c r="G29" s="263">
        <f>SUM(D29:F29)</f>
        <v>244.9</v>
      </c>
      <c r="H29" s="281"/>
      <c r="I29" s="266">
        <f>G29+H29</f>
        <v>244.9</v>
      </c>
      <c r="J29" s="271"/>
      <c r="K29" s="270"/>
      <c r="L29" s="270">
        <v>300</v>
      </c>
      <c r="M29" s="269">
        <f>SUM(J29:L29)</f>
        <v>300</v>
      </c>
      <c r="N29" s="269"/>
      <c r="O29" s="272">
        <f>M29+N29</f>
        <v>300</v>
      </c>
      <c r="P29" s="271"/>
      <c r="Q29" s="270"/>
      <c r="R29" s="270">
        <v>56.17</v>
      </c>
      <c r="S29" s="269">
        <f>SUM(P29:R29)</f>
        <v>56.17</v>
      </c>
      <c r="T29" s="281"/>
      <c r="U29" s="266">
        <f>S29+T29</f>
        <v>56.17</v>
      </c>
      <c r="V29" s="283">
        <v>5</v>
      </c>
      <c r="W29" s="282"/>
      <c r="X29" s="282">
        <v>300</v>
      </c>
      <c r="Y29" s="263">
        <f>SUM(V29:X29)</f>
        <v>305</v>
      </c>
      <c r="Z29" s="281"/>
      <c r="AA29" s="266">
        <f>Y29+Z29</f>
        <v>305</v>
      </c>
      <c r="AB29" s="232">
        <f>(AA29/O29)</f>
        <v>1.0166666666666666</v>
      </c>
      <c r="AC29" s="178"/>
      <c r="AD29" s="178"/>
    </row>
    <row r="30" spans="1:30" x14ac:dyDescent="0.25">
      <c r="A30" s="180"/>
      <c r="B30" s="274" t="s">
        <v>54</v>
      </c>
      <c r="C30" s="273" t="s">
        <v>53</v>
      </c>
      <c r="D30" s="267">
        <f>768.6-128.4</f>
        <v>640.20000000000005</v>
      </c>
      <c r="E30" s="267"/>
      <c r="F30" s="267">
        <f>249.3+128.4</f>
        <v>377.70000000000005</v>
      </c>
      <c r="G30" s="263">
        <f>SUM(D30:F30)</f>
        <v>1017.9000000000001</v>
      </c>
      <c r="H30" s="263"/>
      <c r="I30" s="266">
        <f>G30+H30</f>
        <v>1017.9000000000001</v>
      </c>
      <c r="J30" s="271">
        <v>908.8</v>
      </c>
      <c r="K30" s="270"/>
      <c r="L30" s="270">
        <v>431</v>
      </c>
      <c r="M30" s="269">
        <f>SUM(J30:L30)</f>
        <v>1339.8</v>
      </c>
      <c r="N30" s="269"/>
      <c r="O30" s="272">
        <f>M30+N30</f>
        <v>1339.8</v>
      </c>
      <c r="P30" s="271">
        <v>511.4</v>
      </c>
      <c r="Q30" s="270"/>
      <c r="R30" s="270">
        <v>134.80000000000001</v>
      </c>
      <c r="S30" s="269">
        <f>SUM(P30:R30)</f>
        <v>646.20000000000005</v>
      </c>
      <c r="T30" s="263"/>
      <c r="U30" s="266">
        <f>S30+T30</f>
        <v>646.20000000000005</v>
      </c>
      <c r="V30" s="268">
        <v>948</v>
      </c>
      <c r="W30" s="267"/>
      <c r="X30" s="267">
        <v>622</v>
      </c>
      <c r="Y30" s="263">
        <f>SUM(V30:X30)</f>
        <v>1570</v>
      </c>
      <c r="Z30" s="263"/>
      <c r="AA30" s="266">
        <f>Y30+Z30</f>
        <v>1570</v>
      </c>
      <c r="AB30" s="232">
        <f>(AA30/O30)</f>
        <v>1.1718166890580684</v>
      </c>
      <c r="AC30" s="178"/>
      <c r="AD30" s="178"/>
    </row>
    <row r="31" spans="1:30" x14ac:dyDescent="0.25">
      <c r="A31" s="180"/>
      <c r="B31" s="274" t="s">
        <v>51</v>
      </c>
      <c r="C31" s="273" t="s">
        <v>50</v>
      </c>
      <c r="D31" s="267"/>
      <c r="E31" s="267"/>
      <c r="F31" s="267">
        <v>764.5</v>
      </c>
      <c r="G31" s="263">
        <f>SUM(D31:F31)</f>
        <v>764.5</v>
      </c>
      <c r="H31" s="263"/>
      <c r="I31" s="266">
        <f>G31+H31</f>
        <v>764.5</v>
      </c>
      <c r="J31" s="271">
        <v>140</v>
      </c>
      <c r="K31" s="270"/>
      <c r="L31" s="270">
        <v>1500</v>
      </c>
      <c r="M31" s="269">
        <f>SUM(J31:L31)</f>
        <v>1640</v>
      </c>
      <c r="N31" s="269"/>
      <c r="O31" s="272">
        <f>M31+N31</f>
        <v>1640</v>
      </c>
      <c r="P31" s="271"/>
      <c r="Q31" s="270"/>
      <c r="R31" s="270">
        <v>290.68</v>
      </c>
      <c r="S31" s="269">
        <f>SUM(P31:R31)</f>
        <v>290.68</v>
      </c>
      <c r="T31" s="263"/>
      <c r="U31" s="266">
        <f>S31+T31</f>
        <v>290.68</v>
      </c>
      <c r="V31" s="268">
        <v>74</v>
      </c>
      <c r="W31" s="267"/>
      <c r="X31" s="267">
        <v>1000</v>
      </c>
      <c r="Y31" s="263">
        <f>SUM(V31:X31)</f>
        <v>1074</v>
      </c>
      <c r="Z31" s="263"/>
      <c r="AA31" s="266">
        <f>Y31+Z31</f>
        <v>1074</v>
      </c>
      <c r="AB31" s="232">
        <f>(AA31/O31)</f>
        <v>0.65487804878048783</v>
      </c>
      <c r="AC31" s="178"/>
      <c r="AD31" s="178"/>
    </row>
    <row r="32" spans="1:30" x14ac:dyDescent="0.25">
      <c r="A32" s="180"/>
      <c r="B32" s="274" t="s">
        <v>49</v>
      </c>
      <c r="C32" s="273" t="s">
        <v>48</v>
      </c>
      <c r="D32" s="277">
        <f>150.2+156.6-28.22</f>
        <v>278.57999999999993</v>
      </c>
      <c r="E32" s="267">
        <f>E33+E34</f>
        <v>16954.400000000001</v>
      </c>
      <c r="F32" s="267">
        <f>44.1+F34</f>
        <v>50.9</v>
      </c>
      <c r="G32" s="263">
        <f>SUM(D32:F32)</f>
        <v>17283.880000000005</v>
      </c>
      <c r="H32" s="263">
        <v>13</v>
      </c>
      <c r="I32" s="266">
        <f>G32+H32</f>
        <v>17296.880000000005</v>
      </c>
      <c r="J32" s="276">
        <v>355</v>
      </c>
      <c r="K32" s="270">
        <v>18500</v>
      </c>
      <c r="L32" s="270"/>
      <c r="M32" s="269">
        <v>18855</v>
      </c>
      <c r="N32" s="269">
        <v>50</v>
      </c>
      <c r="O32" s="272">
        <f>M32+N32</f>
        <v>18905</v>
      </c>
      <c r="P32" s="276">
        <f>P33+P34</f>
        <v>211.5</v>
      </c>
      <c r="Q32" s="270">
        <f>Q34+Q33</f>
        <v>8487.4200000000019</v>
      </c>
      <c r="R32" s="270">
        <v>11.8</v>
      </c>
      <c r="S32" s="269">
        <f>SUM(P32:R32)</f>
        <v>8710.7200000000012</v>
      </c>
      <c r="T32" s="263"/>
      <c r="U32" s="266">
        <f>S32+T32</f>
        <v>8710.7200000000012</v>
      </c>
      <c r="V32" s="279">
        <v>387</v>
      </c>
      <c r="W32" s="267">
        <f>W33+W34</f>
        <v>19450</v>
      </c>
      <c r="X32" s="267">
        <v>55</v>
      </c>
      <c r="Y32" s="263">
        <f>SUM(V32:X32)</f>
        <v>19892</v>
      </c>
      <c r="Z32" s="263">
        <v>50</v>
      </c>
      <c r="AA32" s="266">
        <f>Y32+Z32</f>
        <v>19942</v>
      </c>
      <c r="AB32" s="232">
        <f>(AA32/O32)</f>
        <v>1.054853213435599</v>
      </c>
      <c r="AC32" s="178"/>
      <c r="AD32" s="178"/>
    </row>
    <row r="33" spans="1:30" x14ac:dyDescent="0.25">
      <c r="A33" s="180"/>
      <c r="B33" s="274" t="s">
        <v>47</v>
      </c>
      <c r="C33" s="280" t="s">
        <v>46</v>
      </c>
      <c r="D33" s="277">
        <f>147.3+128.4</f>
        <v>275.70000000000005</v>
      </c>
      <c r="E33" s="267">
        <f>16398.4+60+70.9</f>
        <v>16529.300000000003</v>
      </c>
      <c r="F33" s="267">
        <v>44.1</v>
      </c>
      <c r="G33" s="263">
        <f>SUM(D33:F33)</f>
        <v>16849.100000000002</v>
      </c>
      <c r="H33" s="263">
        <v>13</v>
      </c>
      <c r="I33" s="266">
        <f>G33+H33</f>
        <v>16862.100000000002</v>
      </c>
      <c r="J33" s="276">
        <v>355</v>
      </c>
      <c r="K33" s="270">
        <v>18100</v>
      </c>
      <c r="L33" s="270"/>
      <c r="M33" s="269">
        <v>18455</v>
      </c>
      <c r="N33" s="269">
        <v>50</v>
      </c>
      <c r="O33" s="272">
        <f>M33+N33</f>
        <v>18505</v>
      </c>
      <c r="P33" s="276">
        <v>185.5</v>
      </c>
      <c r="Q33" s="270">
        <f>8484.2-185.5-11.8</f>
        <v>8286.9000000000015</v>
      </c>
      <c r="R33" s="270">
        <v>11.8</v>
      </c>
      <c r="S33" s="269">
        <f>SUM(P33:R33)</f>
        <v>8484.2000000000007</v>
      </c>
      <c r="T33" s="263"/>
      <c r="U33" s="266">
        <f>S33+T33</f>
        <v>8484.2000000000007</v>
      </c>
      <c r="V33" s="279">
        <v>350</v>
      </c>
      <c r="W33" s="267">
        <v>19000</v>
      </c>
      <c r="X33" s="267">
        <v>55</v>
      </c>
      <c r="Y33" s="263">
        <f>SUM(V33:X33)</f>
        <v>19405</v>
      </c>
      <c r="Z33" s="263">
        <v>50</v>
      </c>
      <c r="AA33" s="266">
        <f>Y33+Z33</f>
        <v>19455</v>
      </c>
      <c r="AB33" s="232">
        <f>(AA33/O33)</f>
        <v>1.0513374763577412</v>
      </c>
      <c r="AC33" s="178"/>
      <c r="AD33" s="178"/>
    </row>
    <row r="34" spans="1:30" x14ac:dyDescent="0.25">
      <c r="A34" s="180"/>
      <c r="B34" s="274" t="s">
        <v>45</v>
      </c>
      <c r="C34" s="278" t="s">
        <v>44</v>
      </c>
      <c r="D34" s="277">
        <v>2.9</v>
      </c>
      <c r="E34" s="267">
        <f>327.9+68.9+28.3</f>
        <v>425.09999999999997</v>
      </c>
      <c r="F34" s="267">
        <v>6.8</v>
      </c>
      <c r="G34" s="263">
        <f>SUM(D34:F34)</f>
        <v>434.79999999999995</v>
      </c>
      <c r="H34" s="263"/>
      <c r="I34" s="266">
        <f>G34+H34</f>
        <v>434.79999999999995</v>
      </c>
      <c r="J34" s="276" t="s">
        <v>52</v>
      </c>
      <c r="K34" s="270">
        <v>400</v>
      </c>
      <c r="L34" s="270"/>
      <c r="M34" s="269">
        <f>SUM(J34:L34)</f>
        <v>400</v>
      </c>
      <c r="N34" s="269"/>
      <c r="O34" s="272">
        <f>M34+N34</f>
        <v>400</v>
      </c>
      <c r="P34" s="276">
        <v>26</v>
      </c>
      <c r="Q34" s="270">
        <f>226.52-26</f>
        <v>200.52</v>
      </c>
      <c r="R34" s="270"/>
      <c r="S34" s="269">
        <f>SUM(P34:R34)</f>
        <v>226.52</v>
      </c>
      <c r="T34" s="263"/>
      <c r="U34" s="266">
        <f>S34+T34</f>
        <v>226.52</v>
      </c>
      <c r="V34" s="275">
        <v>37</v>
      </c>
      <c r="W34" s="267">
        <v>450</v>
      </c>
      <c r="X34" s="267"/>
      <c r="Y34" s="263">
        <f>SUM(V34:X34)</f>
        <v>487</v>
      </c>
      <c r="Z34" s="263"/>
      <c r="AA34" s="266">
        <f>Y34+Z34</f>
        <v>487</v>
      </c>
      <c r="AB34" s="232">
        <f>(AA34/O34)</f>
        <v>1.2175</v>
      </c>
      <c r="AC34" s="178"/>
      <c r="AD34" s="178"/>
    </row>
    <row r="35" spans="1:30" x14ac:dyDescent="0.25">
      <c r="A35" s="180"/>
      <c r="B35" s="274" t="s">
        <v>43</v>
      </c>
      <c r="C35" s="273" t="s">
        <v>42</v>
      </c>
      <c r="D35" s="277">
        <v>49.8</v>
      </c>
      <c r="E35" s="267">
        <v>5542.67</v>
      </c>
      <c r="F35" s="267">
        <v>5.3</v>
      </c>
      <c r="G35" s="263">
        <f>SUM(D35:F35)</f>
        <v>5597.77</v>
      </c>
      <c r="H35" s="263"/>
      <c r="I35" s="266">
        <f>G35+H35</f>
        <v>5597.77</v>
      </c>
      <c r="J35" s="276">
        <v>45</v>
      </c>
      <c r="K35" s="270">
        <v>6120</v>
      </c>
      <c r="L35" s="270"/>
      <c r="M35" s="269">
        <f>SUM(J35:L35)</f>
        <v>6165</v>
      </c>
      <c r="N35" s="269"/>
      <c r="O35" s="272">
        <f>M35+N35</f>
        <v>6165</v>
      </c>
      <c r="P35" s="276">
        <v>1.6</v>
      </c>
      <c r="Q35" s="270">
        <f>2811.7-1.6</f>
        <v>2810.1</v>
      </c>
      <c r="R35" s="270"/>
      <c r="S35" s="269">
        <f>SUM(P35:R35)</f>
        <v>2811.7</v>
      </c>
      <c r="T35" s="263"/>
      <c r="U35" s="266">
        <f>S35+T35</f>
        <v>2811.7</v>
      </c>
      <c r="V35" s="275"/>
      <c r="W35" s="267">
        <v>6500</v>
      </c>
      <c r="X35" s="267"/>
      <c r="Y35" s="263">
        <f>SUM(V35:X35)</f>
        <v>6500</v>
      </c>
      <c r="Z35" s="263"/>
      <c r="AA35" s="266">
        <f>Y35+Z35</f>
        <v>6500</v>
      </c>
      <c r="AB35" s="232">
        <f>(AA35/O35)</f>
        <v>1.0543390105433901</v>
      </c>
      <c r="AC35" s="178"/>
      <c r="AD35" s="178"/>
    </row>
    <row r="36" spans="1:30" x14ac:dyDescent="0.25">
      <c r="A36" s="180"/>
      <c r="B36" s="274" t="s">
        <v>41</v>
      </c>
      <c r="C36" s="273" t="s">
        <v>40</v>
      </c>
      <c r="D36" s="267" t="s">
        <v>52</v>
      </c>
      <c r="E36" s="267"/>
      <c r="F36" s="267"/>
      <c r="G36" s="263">
        <f>SUM(D36:F36)</f>
        <v>0</v>
      </c>
      <c r="H36" s="263"/>
      <c r="I36" s="266">
        <f>G36+H36</f>
        <v>0</v>
      </c>
      <c r="J36" s="271"/>
      <c r="K36" s="270"/>
      <c r="L36" s="270"/>
      <c r="M36" s="269">
        <f>SUM(J36:L36)</f>
        <v>0</v>
      </c>
      <c r="N36" s="269"/>
      <c r="O36" s="272">
        <f>M36+N36</f>
        <v>0</v>
      </c>
      <c r="P36" s="271"/>
      <c r="Q36" s="270"/>
      <c r="R36" s="270"/>
      <c r="S36" s="269">
        <f>SUM(P36:R36)</f>
        <v>0</v>
      </c>
      <c r="T36" s="263"/>
      <c r="U36" s="266">
        <f>S36+T36</f>
        <v>0</v>
      </c>
      <c r="V36" s="268"/>
      <c r="W36" s="267"/>
      <c r="X36" s="267"/>
      <c r="Y36" s="263">
        <f>SUM(V36:X36)</f>
        <v>0</v>
      </c>
      <c r="Z36" s="263"/>
      <c r="AA36" s="266">
        <f>Y36+Z36</f>
        <v>0</v>
      </c>
      <c r="AB36" s="232" t="e">
        <f>(AA36/O36)</f>
        <v>#DIV/0!</v>
      </c>
      <c r="AC36" s="178"/>
      <c r="AD36" s="178"/>
    </row>
    <row r="37" spans="1:30" x14ac:dyDescent="0.25">
      <c r="A37" s="180"/>
      <c r="B37" s="274" t="s">
        <v>39</v>
      </c>
      <c r="C37" s="273" t="s">
        <v>38</v>
      </c>
      <c r="D37" s="267">
        <v>331.4</v>
      </c>
      <c r="E37" s="267"/>
      <c r="F37" s="267">
        <v>56.8</v>
      </c>
      <c r="G37" s="263">
        <f>SUM(D37:F37)</f>
        <v>388.2</v>
      </c>
      <c r="H37" s="263"/>
      <c r="I37" s="266">
        <f>G37+H37</f>
        <v>388.2</v>
      </c>
      <c r="J37" s="271">
        <v>372</v>
      </c>
      <c r="K37" s="270"/>
      <c r="L37" s="270">
        <v>267</v>
      </c>
      <c r="M37" s="269">
        <f>SUM(J37:L37)</f>
        <v>639</v>
      </c>
      <c r="N37" s="269"/>
      <c r="O37" s="272">
        <f>M37+N37</f>
        <v>639</v>
      </c>
      <c r="P37" s="271">
        <v>185.86</v>
      </c>
      <c r="Q37" s="270"/>
      <c r="R37" s="270">
        <v>133.52000000000001</v>
      </c>
      <c r="S37" s="269">
        <f>SUM(P37:R37)</f>
        <v>319.38</v>
      </c>
      <c r="T37" s="263"/>
      <c r="U37" s="266">
        <f>S37+T37</f>
        <v>319.38</v>
      </c>
      <c r="V37" s="268">
        <v>372</v>
      </c>
      <c r="W37" s="267"/>
      <c r="X37" s="267">
        <v>267</v>
      </c>
      <c r="Y37" s="263">
        <f>SUM(V37:X37)</f>
        <v>639</v>
      </c>
      <c r="Z37" s="263"/>
      <c r="AA37" s="266">
        <f>Y37+Z37</f>
        <v>639</v>
      </c>
      <c r="AB37" s="232">
        <f>(AA37/O37)</f>
        <v>1</v>
      </c>
      <c r="AC37" s="178"/>
      <c r="AD37" s="178"/>
    </row>
    <row r="38" spans="1:30" ht="15.75" thickBot="1" x14ac:dyDescent="0.3">
      <c r="A38" s="180"/>
      <c r="B38" s="265" t="s">
        <v>37</v>
      </c>
      <c r="C38" s="264" t="s">
        <v>36</v>
      </c>
      <c r="D38" s="257"/>
      <c r="E38" s="257"/>
      <c r="F38" s="257">
        <v>711.4</v>
      </c>
      <c r="G38" s="263">
        <f>SUM(D38:F38)</f>
        <v>711.4</v>
      </c>
      <c r="H38" s="256"/>
      <c r="I38" s="255">
        <f>G38+H38</f>
        <v>711.4</v>
      </c>
      <c r="J38" s="261"/>
      <c r="K38" s="260"/>
      <c r="L38" s="260">
        <v>369</v>
      </c>
      <c r="M38" s="259">
        <f>SUM(J38:L38)</f>
        <v>369</v>
      </c>
      <c r="N38" s="259"/>
      <c r="O38" s="262">
        <f>M38+N38</f>
        <v>369</v>
      </c>
      <c r="P38" s="261"/>
      <c r="Q38" s="260"/>
      <c r="R38" s="260">
        <v>50.5</v>
      </c>
      <c r="S38" s="259">
        <f>SUM(P38:R38)</f>
        <v>50.5</v>
      </c>
      <c r="T38" s="256"/>
      <c r="U38" s="255">
        <f>S38+T38</f>
        <v>50.5</v>
      </c>
      <c r="V38" s="258"/>
      <c r="W38" s="257"/>
      <c r="X38" s="257">
        <v>423</v>
      </c>
      <c r="Y38" s="256">
        <f>SUM(V38:X38)</f>
        <v>423</v>
      </c>
      <c r="Z38" s="256"/>
      <c r="AA38" s="255">
        <f>Y38+Z38</f>
        <v>423</v>
      </c>
      <c r="AB38" s="254">
        <f>(AA38/O38)</f>
        <v>1.1463414634146341</v>
      </c>
      <c r="AC38" s="178"/>
      <c r="AD38" s="178"/>
    </row>
    <row r="39" spans="1:30" ht="15.75" thickBot="1" x14ac:dyDescent="0.3">
      <c r="A39" s="180"/>
      <c r="B39" s="253" t="s">
        <v>35</v>
      </c>
      <c r="C39" s="252" t="s">
        <v>34</v>
      </c>
      <c r="D39" s="251">
        <f>SUM(D35:D38)+SUM(D28:D32)</f>
        <v>1299.98</v>
      </c>
      <c r="E39" s="251">
        <f>SUM(E35:E38)+SUM(E28:E32)</f>
        <v>22497.07</v>
      </c>
      <c r="F39" s="251">
        <f>SUM(F35:F38)+SUM(F28:F32)</f>
        <v>2805</v>
      </c>
      <c r="G39" s="250">
        <f>SUM(D39:F39)</f>
        <v>26602.05</v>
      </c>
      <c r="H39" s="249">
        <f>SUM(H28:H32)+SUM(H35:H38)</f>
        <v>13</v>
      </c>
      <c r="I39" s="248">
        <f>SUM(I35:I38)+SUM(I28:I32)</f>
        <v>26615.050000000003</v>
      </c>
      <c r="J39" s="251">
        <f>SUM(J35:J38)+SUM(J28:J32)</f>
        <v>1820.8</v>
      </c>
      <c r="K39" s="251">
        <f>SUM(K35:K38)+SUM(K28:K32)</f>
        <v>24620</v>
      </c>
      <c r="L39" s="251">
        <f>SUM(L35:L38)+SUM(L28:L32)</f>
        <v>3467</v>
      </c>
      <c r="M39" s="250">
        <f>SUM(J39:L39)</f>
        <v>29907.8</v>
      </c>
      <c r="N39" s="249">
        <f>SUM(N28:N32)+SUM(N35:N38)</f>
        <v>50</v>
      </c>
      <c r="O39" s="248">
        <f>SUM(O35:O38)+SUM(O28:O32)</f>
        <v>29957.8</v>
      </c>
      <c r="P39" s="251">
        <f>SUM(P35:P38)+SUM(P28:P32)</f>
        <v>910.36</v>
      </c>
      <c r="Q39" s="251">
        <f>SUM(Q35:Q38)+SUM(Q28:Q32)</f>
        <v>11297.520000000002</v>
      </c>
      <c r="R39" s="251">
        <f>SUM(R35:R38)+SUM(R28:R32)</f>
        <v>683.22900000000004</v>
      </c>
      <c r="S39" s="250">
        <f>SUM(P39:R39)</f>
        <v>12891.109000000002</v>
      </c>
      <c r="T39" s="249">
        <f>SUM(T28:T32)+SUM(T35:T38)</f>
        <v>0</v>
      </c>
      <c r="U39" s="248">
        <f>SUM(U35:U38)+SUM(U28:U32)</f>
        <v>12891.109</v>
      </c>
      <c r="V39" s="251">
        <f>SUM(V35:V38)+SUM(V28:V32)</f>
        <v>1786</v>
      </c>
      <c r="W39" s="251">
        <f>SUM(W35:W38)+SUM(W28:W32)</f>
        <v>25950</v>
      </c>
      <c r="X39" s="251">
        <f>SUM(X35:X38)+SUM(X28:X32)</f>
        <v>3267</v>
      </c>
      <c r="Y39" s="250">
        <f>SUM(V39:X39)</f>
        <v>31003</v>
      </c>
      <c r="Z39" s="249">
        <f>SUM(Z28:Z32)+SUM(Z35:Z38)</f>
        <v>50</v>
      </c>
      <c r="AA39" s="248">
        <f>SUM(AA35:AA38)+SUM(AA28:AA32)</f>
        <v>31053</v>
      </c>
      <c r="AB39" s="247">
        <f>(AA39/O39)</f>
        <v>1.03655809171568</v>
      </c>
      <c r="AC39" s="178"/>
      <c r="AD39" s="178"/>
    </row>
    <row r="40" spans="1:30" ht="19.5" thickBot="1" x14ac:dyDescent="0.35">
      <c r="A40" s="180"/>
      <c r="B40" s="246" t="s">
        <v>33</v>
      </c>
      <c r="C40" s="245" t="s">
        <v>32</v>
      </c>
      <c r="D40" s="244">
        <f>D24-D39</f>
        <v>1.999999999998181E-2</v>
      </c>
      <c r="E40" s="244">
        <f>E24-E39</f>
        <v>2.9999999998835847E-2</v>
      </c>
      <c r="F40" s="244">
        <f>F24-F39</f>
        <v>37.300000000000182</v>
      </c>
      <c r="G40" s="243">
        <f>G24-G39</f>
        <v>37.349999999998545</v>
      </c>
      <c r="H40" s="243">
        <f>H24-H39</f>
        <v>83.3</v>
      </c>
      <c r="I40" s="242">
        <f>I24-I39</f>
        <v>120.64999999999418</v>
      </c>
      <c r="J40" s="244">
        <f>J24-J39</f>
        <v>-1.999999999998181E-2</v>
      </c>
      <c r="K40" s="244">
        <f>K24-K39</f>
        <v>0</v>
      </c>
      <c r="L40" s="244">
        <f>L24-L39</f>
        <v>-100</v>
      </c>
      <c r="M40" s="243">
        <f>M24-M39</f>
        <v>-100.02000000000044</v>
      </c>
      <c r="N40" s="243">
        <f>N24-N39</f>
        <v>100</v>
      </c>
      <c r="O40" s="242">
        <f>O24-O39</f>
        <v>-2.0000000000436557E-2</v>
      </c>
      <c r="P40" s="244">
        <f>P24-P39</f>
        <v>2.9999999999972715E-2</v>
      </c>
      <c r="Q40" s="244">
        <f>Q24-Q39</f>
        <v>429.47999999999774</v>
      </c>
      <c r="R40" s="244">
        <f>R24-R39</f>
        <v>818.73099999999999</v>
      </c>
      <c r="S40" s="243">
        <f>S24-S39</f>
        <v>1248.2409999999963</v>
      </c>
      <c r="T40" s="243">
        <f>T24-T39</f>
        <v>21.5</v>
      </c>
      <c r="U40" s="242">
        <f>U24-U39</f>
        <v>1269.741</v>
      </c>
      <c r="V40" s="244">
        <f>V24-V39</f>
        <v>0</v>
      </c>
      <c r="W40" s="244">
        <f>W24-W39</f>
        <v>0</v>
      </c>
      <c r="X40" s="244">
        <f>X24-X39</f>
        <v>-100</v>
      </c>
      <c r="Y40" s="243">
        <f>Y24-Y39</f>
        <v>-100</v>
      </c>
      <c r="Z40" s="243">
        <f>Z24-Z39</f>
        <v>100</v>
      </c>
      <c r="AA40" s="242">
        <f>AA24-AA39</f>
        <v>0</v>
      </c>
      <c r="AB40" s="241">
        <f>(AA40/O40)</f>
        <v>0</v>
      </c>
      <c r="AC40" s="178"/>
      <c r="AD40" s="178"/>
    </row>
    <row r="41" spans="1:30" ht="15.75" thickBot="1" x14ac:dyDescent="0.3">
      <c r="A41" s="180"/>
      <c r="B41" s="240" t="s">
        <v>31</v>
      </c>
      <c r="C41" s="239" t="s">
        <v>30</v>
      </c>
      <c r="D41" s="237"/>
      <c r="E41" s="236"/>
      <c r="F41" s="236"/>
      <c r="G41" s="235"/>
      <c r="H41" s="238"/>
      <c r="I41" s="233">
        <f>I40-D16</f>
        <v>-979.35000000000582</v>
      </c>
      <c r="J41" s="237"/>
      <c r="K41" s="236"/>
      <c r="L41" s="236"/>
      <c r="M41" s="235"/>
      <c r="N41" s="234"/>
      <c r="O41" s="233">
        <f>O40-J16</f>
        <v>-1480.8000000000004</v>
      </c>
      <c r="P41" s="237"/>
      <c r="Q41" s="236"/>
      <c r="R41" s="236"/>
      <c r="S41" s="235"/>
      <c r="T41" s="234"/>
      <c r="U41" s="233">
        <f>U40-P16</f>
        <v>529.351</v>
      </c>
      <c r="V41" s="237"/>
      <c r="W41" s="236"/>
      <c r="X41" s="236"/>
      <c r="Y41" s="235"/>
      <c r="Z41" s="234"/>
      <c r="AA41" s="233">
        <f>AA40-V16</f>
        <v>-1570</v>
      </c>
      <c r="AB41" s="232">
        <f>(AA41/O41)</f>
        <v>1.0602377093462989</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101</v>
      </c>
      <c r="E44" s="225">
        <v>101</v>
      </c>
      <c r="F44" s="224">
        <v>0</v>
      </c>
      <c r="G44" s="202"/>
      <c r="H44" s="202"/>
      <c r="I44" s="201"/>
      <c r="J44" s="214">
        <v>112.4</v>
      </c>
      <c r="K44" s="225">
        <v>112.4</v>
      </c>
      <c r="L44" s="224">
        <v>0</v>
      </c>
      <c r="M44" s="223"/>
      <c r="N44" s="223"/>
      <c r="O44" s="223"/>
      <c r="P44" s="214">
        <v>56.2</v>
      </c>
      <c r="Q44" s="225">
        <v>56.2</v>
      </c>
      <c r="R44" s="224">
        <v>0</v>
      </c>
      <c r="S44" s="178"/>
      <c r="T44" s="178"/>
      <c r="U44" s="178"/>
      <c r="V44" s="214">
        <v>112</v>
      </c>
      <c r="W44" s="225">
        <v>112</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SUM(G51:G54)</f>
        <v>1309.7</v>
      </c>
      <c r="H50" s="202"/>
      <c r="I50" s="178"/>
      <c r="J50" s="210"/>
      <c r="K50" s="210"/>
      <c r="L50" s="210"/>
      <c r="M50" s="209">
        <f>SUM(M51:M54)</f>
        <v>1520.7000000000003</v>
      </c>
      <c r="N50" s="178"/>
      <c r="O50" s="178"/>
      <c r="P50" s="210"/>
      <c r="Q50" s="210"/>
      <c r="R50" s="210"/>
      <c r="S50" s="209">
        <f>SUM(S51:S54)</f>
        <v>1544.5</v>
      </c>
      <c r="T50" s="178"/>
      <c r="U50" s="178"/>
      <c r="V50" s="210"/>
      <c r="W50" s="210"/>
      <c r="X50" s="210"/>
      <c r="Y50" s="209">
        <f>SUM(Y51:Y54)</f>
        <v>1973</v>
      </c>
      <c r="Z50" s="178"/>
      <c r="AA50" s="178"/>
      <c r="AB50" s="178"/>
      <c r="AC50" s="178"/>
      <c r="AD50" s="178"/>
    </row>
    <row r="51" spans="1:30" x14ac:dyDescent="0.25">
      <c r="A51" s="180"/>
      <c r="B51" s="204"/>
      <c r="C51" s="206" t="s">
        <v>15</v>
      </c>
      <c r="D51" s="210">
        <v>306.2</v>
      </c>
      <c r="E51" s="210">
        <f>366.3+130.8</f>
        <v>497.1</v>
      </c>
      <c r="F51" s="210">
        <v>136.6</v>
      </c>
      <c r="G51" s="209">
        <f>D51+E51-F51</f>
        <v>666.69999999999993</v>
      </c>
      <c r="H51" s="202"/>
      <c r="I51" s="178"/>
      <c r="J51" s="210">
        <v>666.7</v>
      </c>
      <c r="K51" s="211">
        <v>100</v>
      </c>
      <c r="L51" s="211">
        <v>100</v>
      </c>
      <c r="M51" s="209">
        <f>J51+K51-L51</f>
        <v>666.7</v>
      </c>
      <c r="N51" s="178"/>
      <c r="O51" s="178"/>
      <c r="P51" s="210">
        <v>666.7</v>
      </c>
      <c r="Q51" s="211">
        <v>126.5</v>
      </c>
      <c r="R51" s="211">
        <v>30</v>
      </c>
      <c r="S51" s="209">
        <f>P51+Q51-R51</f>
        <v>763.2</v>
      </c>
      <c r="T51" s="178"/>
      <c r="U51" s="178"/>
      <c r="V51" s="209">
        <v>800</v>
      </c>
      <c r="W51" s="210">
        <v>100</v>
      </c>
      <c r="X51" s="210">
        <v>100</v>
      </c>
      <c r="Y51" s="209">
        <f>V51+W51-X51</f>
        <v>800</v>
      </c>
      <c r="Z51" s="178"/>
      <c r="AA51" s="178"/>
      <c r="AB51" s="178"/>
      <c r="AC51" s="178"/>
      <c r="AD51" s="178"/>
    </row>
    <row r="52" spans="1:30" x14ac:dyDescent="0.25">
      <c r="A52" s="180"/>
      <c r="B52" s="204"/>
      <c r="C52" s="206" t="s">
        <v>14</v>
      </c>
      <c r="D52" s="210">
        <v>73.3</v>
      </c>
      <c r="E52" s="210">
        <v>331.3</v>
      </c>
      <c r="F52" s="210">
        <v>101</v>
      </c>
      <c r="G52" s="209">
        <f>D52+E52-F52</f>
        <v>303.60000000000002</v>
      </c>
      <c r="H52" s="202"/>
      <c r="I52" s="178"/>
      <c r="J52" s="210">
        <v>303.60000000000002</v>
      </c>
      <c r="K52" s="211">
        <v>331</v>
      </c>
      <c r="L52" s="211">
        <v>100</v>
      </c>
      <c r="M52" s="209">
        <f>J52+K52-L52</f>
        <v>534.6</v>
      </c>
      <c r="N52" s="178"/>
      <c r="O52" s="178"/>
      <c r="P52" s="210">
        <v>303.60000000000002</v>
      </c>
      <c r="Q52" s="211">
        <v>185.9</v>
      </c>
      <c r="R52" s="211">
        <v>56.2</v>
      </c>
      <c r="S52" s="209">
        <f>P52+Q52-R52</f>
        <v>433.3</v>
      </c>
      <c r="T52" s="178"/>
      <c r="U52" s="178"/>
      <c r="V52" s="209">
        <v>563</v>
      </c>
      <c r="W52" s="210">
        <v>372</v>
      </c>
      <c r="X52" s="210">
        <v>112</v>
      </c>
      <c r="Y52" s="209">
        <f>V52+W52-X52</f>
        <v>823</v>
      </c>
      <c r="Z52" s="178"/>
      <c r="AA52" s="178"/>
      <c r="AB52" s="178"/>
      <c r="AC52" s="178"/>
      <c r="AD52" s="178"/>
    </row>
    <row r="53" spans="1:30" x14ac:dyDescent="0.25">
      <c r="A53" s="180"/>
      <c r="B53" s="204"/>
      <c r="C53" s="206" t="s">
        <v>13</v>
      </c>
      <c r="D53" s="210">
        <v>218.8</v>
      </c>
      <c r="E53" s="210">
        <v>20</v>
      </c>
      <c r="F53" s="210">
        <v>9.8000000000000007</v>
      </c>
      <c r="G53" s="209">
        <f>D53+E53-F53</f>
        <v>229</v>
      </c>
      <c r="H53" s="202"/>
      <c r="I53" s="178"/>
      <c r="J53" s="210">
        <v>229</v>
      </c>
      <c r="K53" s="211">
        <v>20</v>
      </c>
      <c r="L53" s="211">
        <v>40</v>
      </c>
      <c r="M53" s="209">
        <f>J53+K53-L53</f>
        <v>209</v>
      </c>
      <c r="N53" s="178"/>
      <c r="O53" s="178"/>
      <c r="P53" s="210">
        <v>229</v>
      </c>
      <c r="Q53" s="211">
        <v>24.2</v>
      </c>
      <c r="R53" s="211">
        <v>15</v>
      </c>
      <c r="S53" s="209">
        <v>238</v>
      </c>
      <c r="T53" s="178"/>
      <c r="U53" s="178"/>
      <c r="V53" s="209">
        <v>240</v>
      </c>
      <c r="W53" s="210">
        <v>20</v>
      </c>
      <c r="X53" s="210">
        <v>20</v>
      </c>
      <c r="Y53" s="209">
        <f>V53+W53-X53</f>
        <v>240</v>
      </c>
      <c r="Z53" s="178"/>
      <c r="AA53" s="178"/>
      <c r="AB53" s="178"/>
      <c r="AC53" s="178"/>
      <c r="AD53" s="178"/>
    </row>
    <row r="54" spans="1:30" x14ac:dyDescent="0.25">
      <c r="A54" s="180"/>
      <c r="B54" s="204"/>
      <c r="C54" s="212" t="s">
        <v>12</v>
      </c>
      <c r="D54" s="210">
        <v>68.900000000000006</v>
      </c>
      <c r="E54" s="210">
        <v>332.7</v>
      </c>
      <c r="F54" s="210">
        <v>291.2</v>
      </c>
      <c r="G54" s="209">
        <f>D54+E54-F54</f>
        <v>110.40000000000003</v>
      </c>
      <c r="H54" s="202"/>
      <c r="I54" s="178"/>
      <c r="J54" s="210">
        <v>110.4</v>
      </c>
      <c r="K54" s="211">
        <v>362</v>
      </c>
      <c r="L54" s="211">
        <v>362</v>
      </c>
      <c r="M54" s="209">
        <f>J54+K54-L54</f>
        <v>110.39999999999998</v>
      </c>
      <c r="N54" s="178"/>
      <c r="O54" s="178"/>
      <c r="P54" s="210">
        <v>110.4</v>
      </c>
      <c r="Q54" s="211">
        <v>166.7</v>
      </c>
      <c r="R54" s="211">
        <v>168.3</v>
      </c>
      <c r="S54" s="209">
        <v>110</v>
      </c>
      <c r="T54" s="178"/>
      <c r="U54" s="178"/>
      <c r="V54" s="209">
        <v>110</v>
      </c>
      <c r="W54" s="210">
        <v>380</v>
      </c>
      <c r="X54" s="210">
        <v>380</v>
      </c>
      <c r="Y54" s="209">
        <f>V54+W54-X54</f>
        <v>110</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34.6</v>
      </c>
      <c r="E57" s="205">
        <v>33.4</v>
      </c>
      <c r="F57" s="202"/>
      <c r="G57" s="202"/>
      <c r="H57" s="202"/>
      <c r="I57" s="201"/>
      <c r="J57" s="205">
        <v>33.4</v>
      </c>
      <c r="K57" s="202"/>
      <c r="L57" s="202"/>
      <c r="M57" s="202"/>
      <c r="N57" s="202"/>
      <c r="O57" s="201"/>
      <c r="P57" s="205">
        <v>32.299999999999997</v>
      </c>
      <c r="Q57" s="201"/>
      <c r="R57" s="201"/>
      <c r="S57" s="201"/>
      <c r="T57" s="201"/>
      <c r="U57" s="201"/>
      <c r="V57" s="205">
        <v>34</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9"/>
      <c r="B69" s="187"/>
      <c r="C69" s="188"/>
      <c r="D69" s="187"/>
      <c r="E69" s="187"/>
      <c r="F69" s="186"/>
      <c r="G69" s="186"/>
      <c r="H69" s="186"/>
      <c r="I69" s="186"/>
      <c r="J69" s="186"/>
      <c r="K69" s="186"/>
      <c r="L69" s="186"/>
      <c r="M69" s="186"/>
      <c r="N69" s="186"/>
      <c r="O69" s="186"/>
      <c r="P69" s="186"/>
      <c r="Q69" s="186"/>
      <c r="R69" s="186"/>
      <c r="S69" s="186"/>
      <c r="T69" s="186"/>
      <c r="U69" s="186"/>
      <c r="V69" s="178"/>
      <c r="W69" s="178"/>
      <c r="X69" s="178"/>
      <c r="Y69" s="178"/>
      <c r="Z69" s="178"/>
      <c r="AA69" s="178"/>
      <c r="AB69" s="178"/>
      <c r="AC69" s="178"/>
      <c r="AD69" s="178"/>
    </row>
    <row r="70" spans="1:30" x14ac:dyDescent="0.25">
      <c r="A70" s="189"/>
      <c r="B70" s="187"/>
      <c r="C70" s="188"/>
      <c r="D70" s="187"/>
      <c r="E70" s="187"/>
      <c r="F70" s="186"/>
      <c r="G70" s="186"/>
      <c r="H70" s="186"/>
      <c r="I70" s="186"/>
      <c r="J70" s="186"/>
      <c r="K70" s="186"/>
      <c r="L70" s="186"/>
      <c r="M70" s="186"/>
      <c r="N70" s="186"/>
      <c r="O70" s="186"/>
      <c r="P70" s="186"/>
      <c r="Q70" s="186"/>
      <c r="R70" s="186"/>
      <c r="S70" s="186"/>
      <c r="T70" s="186"/>
      <c r="U70" s="186"/>
      <c r="V70" s="178"/>
      <c r="W70" s="178"/>
      <c r="X70" s="178"/>
      <c r="Y70" s="178"/>
      <c r="Z70" s="178"/>
      <c r="AA70" s="178"/>
      <c r="AB70" s="178"/>
      <c r="AC70" s="178"/>
      <c r="AD70" s="178"/>
    </row>
    <row r="71" spans="1:30" x14ac:dyDescent="0.25">
      <c r="A71" s="180"/>
      <c r="B71" s="179"/>
      <c r="C71" s="179"/>
      <c r="D71" s="179"/>
      <c r="E71" s="179"/>
      <c r="F71" s="179"/>
      <c r="G71" s="179"/>
      <c r="H71" s="179"/>
      <c r="I71" s="179"/>
      <c r="J71" s="179"/>
      <c r="K71" s="179"/>
      <c r="L71" s="179"/>
      <c r="M71" s="179"/>
      <c r="N71" s="179"/>
      <c r="O71" s="179"/>
      <c r="P71" s="179"/>
      <c r="Q71" s="179"/>
      <c r="R71" s="179"/>
      <c r="S71" s="179"/>
      <c r="T71" s="179"/>
      <c r="U71" s="179"/>
      <c r="V71" s="178"/>
      <c r="W71" s="178"/>
      <c r="X71" s="178"/>
      <c r="Y71" s="178"/>
      <c r="Z71" s="178"/>
      <c r="AA71" s="178"/>
      <c r="AB71" s="178"/>
      <c r="AC71" s="178"/>
      <c r="AD71" s="178"/>
    </row>
    <row r="72" spans="1:30" x14ac:dyDescent="0.25">
      <c r="A72" s="180"/>
      <c r="B72" s="179" t="s">
        <v>5</v>
      </c>
      <c r="C72" s="185">
        <v>44501</v>
      </c>
      <c r="D72" s="179" t="s">
        <v>4</v>
      </c>
      <c r="E72" s="184" t="s">
        <v>111</v>
      </c>
      <c r="F72" s="184"/>
      <c r="G72" s="184"/>
      <c r="H72" s="179"/>
      <c r="I72" s="179" t="s">
        <v>2</v>
      </c>
      <c r="J72" s="183" t="s">
        <v>110</v>
      </c>
      <c r="K72" s="183"/>
      <c r="L72" s="183"/>
      <c r="M72" s="183"/>
      <c r="N72" s="179"/>
      <c r="O72" s="179"/>
      <c r="P72" s="179"/>
      <c r="Q72" s="179"/>
      <c r="R72" s="179"/>
      <c r="S72" s="179"/>
      <c r="T72" s="179"/>
      <c r="U72" s="179"/>
      <c r="V72" s="178"/>
      <c r="W72" s="178"/>
      <c r="X72" s="178"/>
      <c r="Y72" s="178"/>
      <c r="Z72" s="178"/>
      <c r="AA72" s="178"/>
      <c r="AB72" s="178"/>
      <c r="AC72" s="178"/>
      <c r="AD72" s="178"/>
    </row>
    <row r="73" spans="1:30" ht="7.5" customHeight="1" x14ac:dyDescent="0.25">
      <c r="A73" s="180"/>
      <c r="B73" s="179"/>
      <c r="C73" s="179"/>
      <c r="D73" s="179"/>
      <c r="E73" s="179"/>
      <c r="F73" s="179"/>
      <c r="G73" s="179"/>
      <c r="H73" s="179"/>
      <c r="I73" s="179"/>
      <c r="J73" s="179"/>
      <c r="K73" s="179"/>
      <c r="L73" s="179"/>
      <c r="M73" s="179"/>
      <c r="N73" s="179"/>
      <c r="O73" s="179"/>
      <c r="P73" s="179"/>
      <c r="Q73" s="179"/>
      <c r="R73" s="179"/>
      <c r="S73" s="179"/>
      <c r="T73" s="179"/>
      <c r="U73" s="179"/>
      <c r="V73" s="178"/>
      <c r="W73" s="178"/>
      <c r="X73" s="178"/>
      <c r="Y73" s="178"/>
      <c r="Z73" s="178"/>
      <c r="AA73" s="178"/>
      <c r="AB73" s="178"/>
      <c r="AC73" s="178"/>
      <c r="AD73" s="178"/>
    </row>
    <row r="74" spans="1:30" x14ac:dyDescent="0.25">
      <c r="A74" s="180"/>
      <c r="B74" s="179"/>
      <c r="C74" s="179"/>
      <c r="D74" s="179" t="s">
        <v>0</v>
      </c>
      <c r="E74" s="182"/>
      <c r="F74" s="182"/>
      <c r="G74" s="182"/>
      <c r="H74" s="179"/>
      <c r="I74" s="179" t="s">
        <v>0</v>
      </c>
      <c r="J74" s="181"/>
      <c r="K74" s="181"/>
      <c r="L74" s="181"/>
      <c r="M74" s="181"/>
      <c r="N74" s="179"/>
      <c r="O74" s="179"/>
      <c r="P74" s="179"/>
      <c r="Q74" s="179"/>
      <c r="R74" s="179"/>
      <c r="S74" s="179"/>
      <c r="T74" s="179"/>
      <c r="U74" s="179"/>
      <c r="V74" s="178"/>
      <c r="W74" s="178"/>
      <c r="X74" s="178"/>
      <c r="Y74" s="178"/>
      <c r="Z74" s="178"/>
      <c r="AA74" s="178"/>
      <c r="AB74" s="178"/>
      <c r="AC74" s="178"/>
      <c r="AD74" s="178"/>
    </row>
    <row r="75" spans="1:30" x14ac:dyDescent="0.25">
      <c r="A75" s="180"/>
      <c r="B75" s="179"/>
      <c r="C75" s="179"/>
      <c r="D75" s="179"/>
      <c r="E75" s="182"/>
      <c r="F75" s="182"/>
      <c r="G75" s="182"/>
      <c r="H75" s="179"/>
      <c r="I75" s="179"/>
      <c r="J75" s="181"/>
      <c r="K75" s="181"/>
      <c r="L75" s="181"/>
      <c r="M75" s="181"/>
      <c r="N75" s="179"/>
      <c r="O75" s="179"/>
      <c r="P75" s="179"/>
      <c r="Q75" s="179"/>
      <c r="R75" s="179"/>
      <c r="S75" s="179"/>
      <c r="T75" s="179"/>
      <c r="U75" s="179"/>
      <c r="V75" s="178"/>
      <c r="W75" s="178"/>
      <c r="X75" s="178"/>
      <c r="Y75" s="178"/>
      <c r="Z75" s="178"/>
      <c r="AA75" s="178"/>
      <c r="AB75" s="178"/>
      <c r="AC75" s="178"/>
      <c r="AD75" s="178"/>
    </row>
    <row r="76" spans="1:30" x14ac:dyDescent="0.25">
      <c r="A76" s="180"/>
      <c r="B76" s="179"/>
      <c r="C76" s="179"/>
      <c r="D76" s="179"/>
      <c r="E76" s="179"/>
      <c r="F76" s="179"/>
      <c r="G76" s="179"/>
      <c r="H76" s="179"/>
      <c r="I76" s="179"/>
      <c r="J76" s="179"/>
      <c r="K76" s="179"/>
      <c r="L76" s="179"/>
      <c r="M76" s="179"/>
      <c r="N76" s="179"/>
      <c r="O76" s="179"/>
      <c r="P76" s="179"/>
      <c r="Q76" s="179"/>
      <c r="R76" s="179"/>
      <c r="S76" s="179"/>
      <c r="T76" s="179"/>
      <c r="U76" s="179"/>
      <c r="V76" s="178"/>
      <c r="W76" s="178"/>
      <c r="X76" s="178"/>
      <c r="Y76" s="178"/>
      <c r="Z76" s="178"/>
      <c r="AA76" s="178"/>
      <c r="AB76" s="178"/>
      <c r="AC76" s="178"/>
      <c r="AD76" s="178"/>
    </row>
    <row r="77" spans="1:30" x14ac:dyDescent="0.25">
      <c r="A77" s="180"/>
      <c r="B77" s="179"/>
      <c r="C77" s="179"/>
      <c r="D77" s="179"/>
      <c r="E77" s="179"/>
      <c r="F77" s="179"/>
      <c r="G77" s="179"/>
      <c r="H77" s="179"/>
      <c r="I77" s="179"/>
      <c r="J77" s="179"/>
      <c r="K77" s="179"/>
      <c r="L77" s="179"/>
      <c r="M77" s="179"/>
      <c r="N77" s="179"/>
      <c r="O77" s="179"/>
      <c r="P77" s="179"/>
      <c r="Q77" s="179"/>
      <c r="R77" s="179"/>
      <c r="S77" s="179"/>
      <c r="T77" s="179"/>
      <c r="U77" s="179"/>
      <c r="V77" s="178"/>
      <c r="W77" s="178"/>
      <c r="X77" s="178"/>
      <c r="Y77" s="178"/>
      <c r="Z77" s="178"/>
      <c r="AA77" s="178"/>
      <c r="AB77" s="178"/>
      <c r="AC77" s="178"/>
      <c r="AD77" s="178"/>
    </row>
    <row r="78" spans="1:30" hidden="1" x14ac:dyDescent="0.25">
      <c r="AC78" s="175"/>
      <c r="AD78" s="175"/>
    </row>
    <row r="80" spans="1:3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ht="15" hidden="1" customHeight="1" x14ac:dyDescent="0.25"/>
    <row r="95" x14ac:dyDescent="0.25"/>
    <row r="96" x14ac:dyDescent="0.25"/>
    <row r="97" x14ac:dyDescent="0.25"/>
    <row r="108" ht="15" hidden="1" customHeight="1" x14ac:dyDescent="0.25"/>
    <row r="109" ht="15" hidden="1" customHeight="1" x14ac:dyDescent="0.25"/>
    <row r="113" x14ac:dyDescent="0.25"/>
    <row r="127" x14ac:dyDescent="0.25"/>
    <row r="128" x14ac:dyDescent="0.25"/>
  </sheetData>
  <mergeCells count="64">
    <mergeCell ref="Z13:Z14"/>
    <mergeCell ref="AB10:AB14"/>
    <mergeCell ref="V11:Y11"/>
    <mergeCell ref="V12:AA12"/>
    <mergeCell ref="V13:X13"/>
    <mergeCell ref="AA13:AA14"/>
    <mergeCell ref="Y26:Y27"/>
    <mergeCell ref="Z26:Z27"/>
    <mergeCell ref="V10:AA10"/>
    <mergeCell ref="V25:AA25"/>
    <mergeCell ref="Y13:Y14"/>
    <mergeCell ref="P26:R26"/>
    <mergeCell ref="S26:S27"/>
    <mergeCell ref="T26:T27"/>
    <mergeCell ref="U26:U27"/>
    <mergeCell ref="AB25:AB27"/>
    <mergeCell ref="V26:X26"/>
    <mergeCell ref="AA26:AA27"/>
    <mergeCell ref="D11:G11"/>
    <mergeCell ref="C10:C13"/>
    <mergeCell ref="D13:F13"/>
    <mergeCell ref="H26:H27"/>
    <mergeCell ref="I26:I27"/>
    <mergeCell ref="P10:U10"/>
    <mergeCell ref="S13:S14"/>
    <mergeCell ref="T13:T14"/>
    <mergeCell ref="U13:U14"/>
    <mergeCell ref="P25:U25"/>
    <mergeCell ref="E72:G72"/>
    <mergeCell ref="J72:M72"/>
    <mergeCell ref="B63:U63"/>
    <mergeCell ref="D4:U4"/>
    <mergeCell ref="D8:U8"/>
    <mergeCell ref="C43:C44"/>
    <mergeCell ref="C46:C47"/>
    <mergeCell ref="C26:C27"/>
    <mergeCell ref="D12:I12"/>
    <mergeCell ref="D10:I10"/>
    <mergeCell ref="M26:M27"/>
    <mergeCell ref="N26:N27"/>
    <mergeCell ref="O26:O27"/>
    <mergeCell ref="G13:G14"/>
    <mergeCell ref="H13:H14"/>
    <mergeCell ref="I13:I14"/>
    <mergeCell ref="P11:S11"/>
    <mergeCell ref="P12:U12"/>
    <mergeCell ref="P13:R13"/>
    <mergeCell ref="B62:U62"/>
    <mergeCell ref="D59:U59"/>
    <mergeCell ref="B61:U61"/>
    <mergeCell ref="B26:B27"/>
    <mergeCell ref="O13:O14"/>
    <mergeCell ref="J25:O25"/>
    <mergeCell ref="J26:L26"/>
    <mergeCell ref="D25:I25"/>
    <mergeCell ref="D26:F26"/>
    <mergeCell ref="G26:G27"/>
    <mergeCell ref="B10:B13"/>
    <mergeCell ref="J10:O10"/>
    <mergeCell ref="J11:M11"/>
    <mergeCell ref="J12:O12"/>
    <mergeCell ref="J13:L13"/>
    <mergeCell ref="M13:M14"/>
    <mergeCell ref="N13:N14"/>
  </mergeCells>
  <conditionalFormatting sqref="AB15:AB25">
    <cfRule type="cellIs" dxfId="3" priority="3" operator="equal">
      <formula>0</formula>
    </cfRule>
    <cfRule type="containsErrors" dxfId="2" priority="4">
      <formula>ISERROR(AB15)</formula>
    </cfRule>
  </conditionalFormatting>
  <conditionalFormatting sqref="AB28:AB41">
    <cfRule type="cellIs" dxfId="1" priority="1" operator="equal">
      <formula>0</formula>
    </cfRule>
    <cfRule type="containsErrors" dxfId="0" priority="2">
      <formula>ISERROR(AB28)</formula>
    </cfRule>
  </conditionalFormatting>
  <pageMargins left="0.70866141732283472" right="0.70866141732283472" top="0.78740157480314965" bottom="0.78740157480314965" header="0.31496062992125984" footer="0.31496062992125984"/>
  <pageSetup paperSize="9"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D130"/>
  <sheetViews>
    <sheetView showGridLines="0" zoomScale="80" zoomScaleNormal="80" zoomScaleSheetLayoutView="80" workbookViewId="0"/>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124</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46790080</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123</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6557</v>
      </c>
      <c r="G15" s="366">
        <f>SUM(D15:F15)</f>
        <v>6557</v>
      </c>
      <c r="H15" s="352">
        <v>329</v>
      </c>
      <c r="I15" s="266">
        <f>G15+H15</f>
        <v>6886</v>
      </c>
      <c r="J15" s="369"/>
      <c r="K15" s="368"/>
      <c r="L15" s="367">
        <v>8250</v>
      </c>
      <c r="M15" s="366">
        <f>SUM(J15:L15)</f>
        <v>8250</v>
      </c>
      <c r="N15" s="352">
        <v>200</v>
      </c>
      <c r="O15" s="266">
        <f>M15+N15</f>
        <v>8450</v>
      </c>
      <c r="P15" s="369"/>
      <c r="Q15" s="368"/>
      <c r="R15" s="367">
        <v>3685</v>
      </c>
      <c r="S15" s="366">
        <f>SUM(P15:R15)</f>
        <v>3685</v>
      </c>
      <c r="T15" s="352">
        <v>86</v>
      </c>
      <c r="U15" s="266">
        <f>S15+T15</f>
        <v>3771</v>
      </c>
      <c r="V15" s="369"/>
      <c r="W15" s="368"/>
      <c r="X15" s="367">
        <v>7595</v>
      </c>
      <c r="Y15" s="366">
        <f>SUM(V15:X15)</f>
        <v>7595</v>
      </c>
      <c r="Z15" s="352">
        <v>150</v>
      </c>
      <c r="AA15" s="266">
        <f>Y15+Z15</f>
        <v>7745</v>
      </c>
      <c r="AB15" s="232">
        <f>(AA15/O15)</f>
        <v>0.91656804733727815</v>
      </c>
      <c r="AC15" s="178"/>
      <c r="AD15" s="178"/>
    </row>
    <row r="16" spans="1:30" x14ac:dyDescent="0.25">
      <c r="A16" s="180"/>
      <c r="B16" s="274" t="s">
        <v>86</v>
      </c>
      <c r="C16" s="361" t="s">
        <v>85</v>
      </c>
      <c r="D16" s="360">
        <v>4680</v>
      </c>
      <c r="E16" s="343"/>
      <c r="F16" s="343"/>
      <c r="G16" s="341">
        <v>4680</v>
      </c>
      <c r="H16" s="358"/>
      <c r="I16" s="266">
        <f>G16+H16</f>
        <v>4680</v>
      </c>
      <c r="J16" s="360">
        <v>4704</v>
      </c>
      <c r="K16" s="343"/>
      <c r="L16" s="343"/>
      <c r="M16" s="341">
        <f>SUM(J16:L16)</f>
        <v>4704</v>
      </c>
      <c r="N16" s="358"/>
      <c r="O16" s="266">
        <f>M16+N16</f>
        <v>4704</v>
      </c>
      <c r="P16" s="360">
        <v>2352</v>
      </c>
      <c r="Q16" s="343"/>
      <c r="R16" s="343"/>
      <c r="S16" s="341">
        <f>SUM(P16:R16)</f>
        <v>2352</v>
      </c>
      <c r="T16" s="358"/>
      <c r="U16" s="266">
        <f>S16+T16</f>
        <v>2352</v>
      </c>
      <c r="V16" s="360">
        <v>5050</v>
      </c>
      <c r="W16" s="343"/>
      <c r="X16" s="343"/>
      <c r="Y16" s="341">
        <f>SUM(V16:X16)</f>
        <v>5050</v>
      </c>
      <c r="Z16" s="358"/>
      <c r="AA16" s="266">
        <f>Y16+Z16</f>
        <v>5050</v>
      </c>
      <c r="AB16" s="232">
        <f>(AA16/O16)</f>
        <v>1.0735544217687074</v>
      </c>
      <c r="AC16" s="178"/>
      <c r="AD16" s="178"/>
    </row>
    <row r="17" spans="1:30" x14ac:dyDescent="0.25">
      <c r="A17" s="180"/>
      <c r="B17" s="274" t="s">
        <v>84</v>
      </c>
      <c r="C17" s="357" t="s">
        <v>83</v>
      </c>
      <c r="D17" s="356"/>
      <c r="E17" s="350"/>
      <c r="F17" s="350"/>
      <c r="G17" s="341">
        <f>SUM(D17:F17)</f>
        <v>0</v>
      </c>
      <c r="H17" s="355"/>
      <c r="I17" s="266">
        <f>G17+H17</f>
        <v>0</v>
      </c>
      <c r="J17" s="356"/>
      <c r="K17" s="350"/>
      <c r="L17" s="350"/>
      <c r="M17" s="341">
        <f>SUM(J17:L17)</f>
        <v>0</v>
      </c>
      <c r="N17" s="355"/>
      <c r="O17" s="266">
        <f>M17+N17</f>
        <v>0</v>
      </c>
      <c r="P17" s="356"/>
      <c r="Q17" s="350"/>
      <c r="R17" s="350"/>
      <c r="S17" s="341">
        <f>SUM(P17:R17)</f>
        <v>0</v>
      </c>
      <c r="T17" s="355"/>
      <c r="U17" s="266">
        <f>S17+T17</f>
        <v>0</v>
      </c>
      <c r="V17" s="356"/>
      <c r="W17" s="350"/>
      <c r="X17" s="350"/>
      <c r="Y17" s="341">
        <f>SUM(V17:X17)</f>
        <v>0</v>
      </c>
      <c r="Z17" s="355"/>
      <c r="AA17" s="266">
        <f>Y17+Z17</f>
        <v>0</v>
      </c>
      <c r="AB17" s="232" t="e">
        <f>(AA17/O17)</f>
        <v>#DIV/0!</v>
      </c>
      <c r="AC17" s="178"/>
      <c r="AD17" s="178"/>
    </row>
    <row r="18" spans="1:30" x14ac:dyDescent="0.25">
      <c r="A18" s="180"/>
      <c r="B18" s="274" t="s">
        <v>82</v>
      </c>
      <c r="C18" s="354" t="s">
        <v>81</v>
      </c>
      <c r="D18" s="344"/>
      <c r="E18" s="353">
        <v>9630</v>
      </c>
      <c r="F18" s="350"/>
      <c r="G18" s="341">
        <f>SUM(D18:F18)</f>
        <v>9630</v>
      </c>
      <c r="H18" s="352">
        <v>0</v>
      </c>
      <c r="I18" s="266">
        <f>G18+H18</f>
        <v>9630</v>
      </c>
      <c r="J18" s="344"/>
      <c r="K18" s="353">
        <v>4500</v>
      </c>
      <c r="L18" s="350"/>
      <c r="M18" s="341">
        <f>SUM(J18:L18)</f>
        <v>4500</v>
      </c>
      <c r="N18" s="352">
        <v>0</v>
      </c>
      <c r="O18" s="266">
        <f>M18+N18</f>
        <v>4500</v>
      </c>
      <c r="P18" s="344"/>
      <c r="Q18" s="353">
        <v>1297</v>
      </c>
      <c r="R18" s="350"/>
      <c r="S18" s="341">
        <f>SUM(P18:R18)</f>
        <v>1297</v>
      </c>
      <c r="T18" s="352">
        <v>0</v>
      </c>
      <c r="U18" s="266">
        <f>S18+T18</f>
        <v>1297</v>
      </c>
      <c r="V18" s="344"/>
      <c r="W18" s="353">
        <v>4500</v>
      </c>
      <c r="X18" s="350"/>
      <c r="Y18" s="341">
        <f>SUM(V18:X18)</f>
        <v>4500</v>
      </c>
      <c r="Z18" s="352">
        <v>0</v>
      </c>
      <c r="AA18" s="266">
        <f>Y18+Z18</f>
        <v>4500</v>
      </c>
      <c r="AB18" s="232">
        <f>(AA18/O18)</f>
        <v>1</v>
      </c>
      <c r="AC18" s="178"/>
      <c r="AD18" s="178"/>
    </row>
    <row r="19" spans="1:30" x14ac:dyDescent="0.25">
      <c r="A19" s="180"/>
      <c r="B19" s="274" t="s">
        <v>80</v>
      </c>
      <c r="C19" s="280" t="s">
        <v>79</v>
      </c>
      <c r="D19" s="351"/>
      <c r="E19" s="350"/>
      <c r="F19" s="347">
        <v>348</v>
      </c>
      <c r="G19" s="341">
        <f>SUM(D19:F19)</f>
        <v>348</v>
      </c>
      <c r="H19" s="345">
        <v>0</v>
      </c>
      <c r="I19" s="266">
        <f>G19+H19</f>
        <v>348</v>
      </c>
      <c r="J19" s="351"/>
      <c r="K19" s="350"/>
      <c r="L19" s="347">
        <v>395</v>
      </c>
      <c r="M19" s="341">
        <f>SUM(J19:L19)</f>
        <v>395</v>
      </c>
      <c r="N19" s="345">
        <v>0</v>
      </c>
      <c r="O19" s="266">
        <f>M19+N19</f>
        <v>395</v>
      </c>
      <c r="P19" s="351"/>
      <c r="Q19" s="350"/>
      <c r="R19" s="347">
        <v>190</v>
      </c>
      <c r="S19" s="341">
        <f>SUM(P19:R19)</f>
        <v>190</v>
      </c>
      <c r="T19" s="345">
        <v>0</v>
      </c>
      <c r="U19" s="266">
        <f>S19+T19</f>
        <v>190</v>
      </c>
      <c r="V19" s="351"/>
      <c r="W19" s="350"/>
      <c r="X19" s="347">
        <v>380</v>
      </c>
      <c r="Y19" s="341">
        <f>SUM(V19:X19)</f>
        <v>380</v>
      </c>
      <c r="Z19" s="345">
        <v>0</v>
      </c>
      <c r="AA19" s="266">
        <f>Y19+Z19</f>
        <v>380</v>
      </c>
      <c r="AB19" s="232">
        <f>(AA19/O19)</f>
        <v>0.96202531645569622</v>
      </c>
      <c r="AC19" s="178"/>
      <c r="AD19" s="178"/>
    </row>
    <row r="20" spans="1:30" x14ac:dyDescent="0.25">
      <c r="A20" s="180"/>
      <c r="B20" s="274" t="s">
        <v>78</v>
      </c>
      <c r="C20" s="346" t="s">
        <v>77</v>
      </c>
      <c r="D20" s="344"/>
      <c r="E20" s="343"/>
      <c r="F20" s="342">
        <v>0</v>
      </c>
      <c r="G20" s="341">
        <v>0</v>
      </c>
      <c r="H20" s="345">
        <v>0</v>
      </c>
      <c r="I20" s="266">
        <f>G20+H20</f>
        <v>0</v>
      </c>
      <c r="J20" s="344"/>
      <c r="K20" s="343"/>
      <c r="L20" s="342">
        <v>0</v>
      </c>
      <c r="M20" s="341">
        <f>SUM(J20:L20)</f>
        <v>0</v>
      </c>
      <c r="N20" s="345">
        <v>0</v>
      </c>
      <c r="O20" s="266">
        <f>M20+N20</f>
        <v>0</v>
      </c>
      <c r="P20" s="344"/>
      <c r="Q20" s="343"/>
      <c r="R20" s="342">
        <v>0</v>
      </c>
      <c r="S20" s="341">
        <f>SUM(P20:R20)</f>
        <v>0</v>
      </c>
      <c r="T20" s="345">
        <v>0</v>
      </c>
      <c r="U20" s="266">
        <f>S20+T20</f>
        <v>0</v>
      </c>
      <c r="V20" s="344"/>
      <c r="W20" s="343"/>
      <c r="X20" s="342">
        <v>0</v>
      </c>
      <c r="Y20" s="341">
        <f>SUM(V20:X20)</f>
        <v>0</v>
      </c>
      <c r="Z20" s="345">
        <v>0</v>
      </c>
      <c r="AA20" s="266">
        <f>Y20+Z20</f>
        <v>0</v>
      </c>
      <c r="AB20" s="232" t="e">
        <f>(AA20/O20)</f>
        <v>#DIV/0!</v>
      </c>
      <c r="AC20" s="178"/>
      <c r="AD20" s="178"/>
    </row>
    <row r="21" spans="1:30" x14ac:dyDescent="0.25">
      <c r="A21" s="180"/>
      <c r="B21" s="274" t="s">
        <v>76</v>
      </c>
      <c r="C21" s="273" t="s">
        <v>75</v>
      </c>
      <c r="D21" s="344"/>
      <c r="E21" s="343"/>
      <c r="F21" s="342">
        <v>204</v>
      </c>
      <c r="G21" s="341">
        <f>SUM(D21:F21)</f>
        <v>204</v>
      </c>
      <c r="H21" s="336">
        <v>0.7</v>
      </c>
      <c r="I21" s="266">
        <f>G21+H21</f>
        <v>204.7</v>
      </c>
      <c r="J21" s="344"/>
      <c r="K21" s="343"/>
      <c r="L21" s="342">
        <v>150</v>
      </c>
      <c r="M21" s="341">
        <f>SUM(J21:L21)</f>
        <v>150</v>
      </c>
      <c r="N21" s="336">
        <v>0</v>
      </c>
      <c r="O21" s="266">
        <f>M21+N21</f>
        <v>150</v>
      </c>
      <c r="P21" s="344"/>
      <c r="Q21" s="343"/>
      <c r="R21" s="342">
        <v>47</v>
      </c>
      <c r="S21" s="341">
        <f>SUM(P21:R21)</f>
        <v>47</v>
      </c>
      <c r="T21" s="336">
        <v>0.3</v>
      </c>
      <c r="U21" s="266">
        <f>S21+T21</f>
        <v>47.3</v>
      </c>
      <c r="V21" s="344"/>
      <c r="W21" s="343"/>
      <c r="X21" s="342">
        <v>150</v>
      </c>
      <c r="Y21" s="341">
        <f>SUM(V21:X21)</f>
        <v>150</v>
      </c>
      <c r="Z21" s="336">
        <v>0</v>
      </c>
      <c r="AA21" s="266">
        <f>Y21+Z21</f>
        <v>150</v>
      </c>
      <c r="AB21" s="232">
        <f>(AA21/O21)</f>
        <v>1</v>
      </c>
      <c r="AC21" s="178"/>
      <c r="AD21" s="178"/>
    </row>
    <row r="22" spans="1:30" x14ac:dyDescent="0.25">
      <c r="A22" s="180"/>
      <c r="B22" s="274" t="s">
        <v>74</v>
      </c>
      <c r="C22" s="273" t="s">
        <v>73</v>
      </c>
      <c r="D22" s="344"/>
      <c r="E22" s="343"/>
      <c r="F22" s="342">
        <v>0</v>
      </c>
      <c r="G22" s="341">
        <f>SUM(D22:F22)</f>
        <v>0</v>
      </c>
      <c r="H22" s="336">
        <v>0</v>
      </c>
      <c r="I22" s="266">
        <f>G22+H22</f>
        <v>0</v>
      </c>
      <c r="J22" s="344"/>
      <c r="K22" s="343"/>
      <c r="L22" s="342">
        <v>0</v>
      </c>
      <c r="M22" s="341">
        <f>SUM(J22:L22)</f>
        <v>0</v>
      </c>
      <c r="N22" s="336">
        <v>0</v>
      </c>
      <c r="O22" s="266">
        <f>M22+N22</f>
        <v>0</v>
      </c>
      <c r="P22" s="344"/>
      <c r="Q22" s="343"/>
      <c r="R22" s="342">
        <v>0</v>
      </c>
      <c r="S22" s="341">
        <f>SUM(P22:R22)</f>
        <v>0</v>
      </c>
      <c r="T22" s="336">
        <v>0</v>
      </c>
      <c r="U22" s="266">
        <f>S22+T22</f>
        <v>0</v>
      </c>
      <c r="V22" s="344"/>
      <c r="W22" s="343"/>
      <c r="X22" s="342">
        <v>0</v>
      </c>
      <c r="Y22" s="341">
        <f>SUM(V22:X22)</f>
        <v>0</v>
      </c>
      <c r="Z22" s="336">
        <v>0</v>
      </c>
      <c r="AA22" s="266">
        <f>Y22+Z22</f>
        <v>0</v>
      </c>
      <c r="AB22" s="232" t="e">
        <f>(AA22/O22)</f>
        <v>#DIV/0!</v>
      </c>
      <c r="AC22" s="178"/>
      <c r="AD22" s="178"/>
    </row>
    <row r="23" spans="1:30" ht="15.75" thickBot="1" x14ac:dyDescent="0.3">
      <c r="A23" s="180"/>
      <c r="B23" s="335" t="s">
        <v>72</v>
      </c>
      <c r="C23" s="334" t="s">
        <v>71</v>
      </c>
      <c r="D23" s="333"/>
      <c r="E23" s="332"/>
      <c r="F23" s="331">
        <v>37</v>
      </c>
      <c r="G23" s="330">
        <f>SUM(D23:F23)</f>
        <v>37</v>
      </c>
      <c r="H23" s="325">
        <v>0</v>
      </c>
      <c r="I23" s="255">
        <f>G23+H23</f>
        <v>37</v>
      </c>
      <c r="J23" s="333"/>
      <c r="K23" s="332"/>
      <c r="L23" s="331">
        <v>35</v>
      </c>
      <c r="M23" s="330">
        <f>SUM(J23:L23)</f>
        <v>35</v>
      </c>
      <c r="N23" s="325">
        <v>0</v>
      </c>
      <c r="O23" s="255">
        <f>M23+N23</f>
        <v>35</v>
      </c>
      <c r="P23" s="333"/>
      <c r="Q23" s="332"/>
      <c r="R23" s="331">
        <v>0</v>
      </c>
      <c r="S23" s="330">
        <f>SUM(P23:R23)</f>
        <v>0</v>
      </c>
      <c r="T23" s="325">
        <v>0</v>
      </c>
      <c r="U23" s="255">
        <f>S23+T23</f>
        <v>0</v>
      </c>
      <c r="V23" s="333"/>
      <c r="W23" s="332"/>
      <c r="X23" s="331">
        <v>20</v>
      </c>
      <c r="Y23" s="330">
        <f>SUM(V23:X23)</f>
        <v>20</v>
      </c>
      <c r="Z23" s="325">
        <v>0</v>
      </c>
      <c r="AA23" s="255">
        <f>Y23+Z23</f>
        <v>20</v>
      </c>
      <c r="AB23" s="254">
        <f>(AA23/O23)</f>
        <v>0.5714285714285714</v>
      </c>
      <c r="AC23" s="178"/>
      <c r="AD23" s="178"/>
    </row>
    <row r="24" spans="1:30" ht="15.75" thickBot="1" x14ac:dyDescent="0.3">
      <c r="A24" s="180"/>
      <c r="B24" s="253" t="s">
        <v>70</v>
      </c>
      <c r="C24" s="324" t="s">
        <v>69</v>
      </c>
      <c r="D24" s="323">
        <f>SUM(D15:D21)</f>
        <v>4680</v>
      </c>
      <c r="E24" s="322">
        <f>SUM(E15:E21)</f>
        <v>9630</v>
      </c>
      <c r="F24" s="322">
        <f>SUM(F15:F21)</f>
        <v>7109</v>
      </c>
      <c r="G24" s="321">
        <f>SUM(D24:F24)</f>
        <v>21419</v>
      </c>
      <c r="H24" s="320">
        <f>SUM(H15:H23)</f>
        <v>329.7</v>
      </c>
      <c r="I24" s="320">
        <f>SUM(I15:I21)</f>
        <v>21748.7</v>
      </c>
      <c r="J24" s="323">
        <f>SUM(J15:J21)</f>
        <v>4704</v>
      </c>
      <c r="K24" s="322">
        <f>SUM(K15:K21)</f>
        <v>4500</v>
      </c>
      <c r="L24" s="322">
        <f>SUM(L15:L21)</f>
        <v>8795</v>
      </c>
      <c r="M24" s="321">
        <f>SUM(J24:L24)</f>
        <v>17999</v>
      </c>
      <c r="N24" s="320">
        <f>SUM(N15:N23)</f>
        <v>200</v>
      </c>
      <c r="O24" s="320">
        <f>SUM(O15:O21)</f>
        <v>18199</v>
      </c>
      <c r="P24" s="323">
        <f>SUM(P15:P21)</f>
        <v>2352</v>
      </c>
      <c r="Q24" s="322">
        <f>SUM(Q15:Q21)</f>
        <v>1297</v>
      </c>
      <c r="R24" s="322">
        <f>SUM(R15:R21)</f>
        <v>3922</v>
      </c>
      <c r="S24" s="321">
        <f>SUM(P24:R24)</f>
        <v>7571</v>
      </c>
      <c r="T24" s="320">
        <f>SUM(T15:T23)</f>
        <v>86.3</v>
      </c>
      <c r="U24" s="320">
        <f>SUM(U15:U21)</f>
        <v>7657.3</v>
      </c>
      <c r="V24" s="323">
        <f>SUM(V15:V21)</f>
        <v>5050</v>
      </c>
      <c r="W24" s="322">
        <f>SUM(W15:W21)</f>
        <v>4500</v>
      </c>
      <c r="X24" s="322">
        <f>SUM(X15:X21)</f>
        <v>8125</v>
      </c>
      <c r="Y24" s="321">
        <f>SUM(V24:X24)</f>
        <v>17675</v>
      </c>
      <c r="Z24" s="320">
        <f>SUM(Z15:Z23)</f>
        <v>150</v>
      </c>
      <c r="AA24" s="320">
        <f>SUM(AA15:AA21)</f>
        <v>17825</v>
      </c>
      <c r="AB24" s="319">
        <f>(AA24/O24)</f>
        <v>0.97944942029781856</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70</v>
      </c>
      <c r="E28" s="287">
        <v>0</v>
      </c>
      <c r="F28" s="287">
        <v>262</v>
      </c>
      <c r="G28" s="286">
        <f>SUM(D28:F28)</f>
        <v>332</v>
      </c>
      <c r="H28" s="286">
        <v>0</v>
      </c>
      <c r="I28" s="285">
        <f>G28+H28</f>
        <v>332</v>
      </c>
      <c r="J28" s="288">
        <v>0</v>
      </c>
      <c r="K28" s="287">
        <v>0</v>
      </c>
      <c r="L28" s="287">
        <v>300</v>
      </c>
      <c r="M28" s="286">
        <f>SUM(J28:L28)</f>
        <v>300</v>
      </c>
      <c r="N28" s="286">
        <v>0</v>
      </c>
      <c r="O28" s="285">
        <f>M28+N28</f>
        <v>300</v>
      </c>
      <c r="P28" s="288">
        <v>0</v>
      </c>
      <c r="Q28" s="287">
        <v>0</v>
      </c>
      <c r="R28" s="287">
        <v>189</v>
      </c>
      <c r="S28" s="286">
        <f>SUM(P28:R28)</f>
        <v>189</v>
      </c>
      <c r="T28" s="286">
        <v>0</v>
      </c>
      <c r="U28" s="285">
        <f>S28+T28</f>
        <v>189</v>
      </c>
      <c r="V28" s="288">
        <v>0</v>
      </c>
      <c r="W28" s="287">
        <v>0</v>
      </c>
      <c r="X28" s="287">
        <v>300</v>
      </c>
      <c r="Y28" s="286">
        <f>SUM(V28:X28)</f>
        <v>300</v>
      </c>
      <c r="Z28" s="286">
        <v>0</v>
      </c>
      <c r="AA28" s="285">
        <f>Y28+Z28</f>
        <v>300</v>
      </c>
      <c r="AB28" s="232">
        <f>(AA28/O28)</f>
        <v>1</v>
      </c>
      <c r="AC28" s="178"/>
      <c r="AD28" s="178"/>
    </row>
    <row r="29" spans="1:30" x14ac:dyDescent="0.25">
      <c r="A29" s="180"/>
      <c r="B29" s="274" t="s">
        <v>56</v>
      </c>
      <c r="C29" s="284" t="s">
        <v>55</v>
      </c>
      <c r="D29" s="282">
        <v>50</v>
      </c>
      <c r="E29" s="282">
        <v>3000</v>
      </c>
      <c r="F29" s="282">
        <v>3526</v>
      </c>
      <c r="G29" s="263">
        <f>SUM(D29:F29)</f>
        <v>6576</v>
      </c>
      <c r="H29" s="281">
        <v>0</v>
      </c>
      <c r="I29" s="266">
        <f>G29+H29</f>
        <v>6576</v>
      </c>
      <c r="J29" s="283">
        <v>170</v>
      </c>
      <c r="K29" s="282">
        <v>1500</v>
      </c>
      <c r="L29" s="282">
        <v>2150</v>
      </c>
      <c r="M29" s="263">
        <f>SUM(J29:L29)</f>
        <v>3820</v>
      </c>
      <c r="N29" s="281">
        <v>0</v>
      </c>
      <c r="O29" s="266">
        <f>M29+N29</f>
        <v>3820</v>
      </c>
      <c r="P29" s="283">
        <v>31</v>
      </c>
      <c r="Q29" s="282">
        <v>0</v>
      </c>
      <c r="R29" s="282">
        <v>3790</v>
      </c>
      <c r="S29" s="263">
        <f>SUM(P29:R29)</f>
        <v>3821</v>
      </c>
      <c r="T29" s="281">
        <v>0</v>
      </c>
      <c r="U29" s="266">
        <f>S29+T29</f>
        <v>3821</v>
      </c>
      <c r="V29" s="283">
        <v>190</v>
      </c>
      <c r="W29" s="282">
        <v>1500</v>
      </c>
      <c r="X29" s="282">
        <v>1950</v>
      </c>
      <c r="Y29" s="263">
        <f>SUM(V29:X29)</f>
        <v>3640</v>
      </c>
      <c r="Z29" s="281">
        <v>0</v>
      </c>
      <c r="AA29" s="266">
        <f>Y29+Z29</f>
        <v>3640</v>
      </c>
      <c r="AB29" s="232">
        <f>(AA29/O29)</f>
        <v>0.95287958115183247</v>
      </c>
      <c r="AC29" s="178"/>
      <c r="AD29" s="178"/>
    </row>
    <row r="30" spans="1:30" x14ac:dyDescent="0.25">
      <c r="A30" s="180"/>
      <c r="B30" s="274" t="s">
        <v>54</v>
      </c>
      <c r="C30" s="273" t="s">
        <v>53</v>
      </c>
      <c r="D30" s="267">
        <v>0</v>
      </c>
      <c r="E30" s="267">
        <v>0</v>
      </c>
      <c r="F30" s="267">
        <v>71</v>
      </c>
      <c r="G30" s="263">
        <f>SUM(D30:F30)</f>
        <v>71</v>
      </c>
      <c r="H30" s="263">
        <v>0</v>
      </c>
      <c r="I30" s="266">
        <f>G30+H30</f>
        <v>71</v>
      </c>
      <c r="J30" s="268">
        <v>0</v>
      </c>
      <c r="K30" s="267">
        <v>0</v>
      </c>
      <c r="L30" s="267">
        <v>75</v>
      </c>
      <c r="M30" s="263">
        <f>SUM(J30:L30)</f>
        <v>75</v>
      </c>
      <c r="N30" s="263">
        <v>0</v>
      </c>
      <c r="O30" s="266">
        <f>M30+N30</f>
        <v>75</v>
      </c>
      <c r="P30" s="268">
        <v>0</v>
      </c>
      <c r="Q30" s="267">
        <v>0</v>
      </c>
      <c r="R30" s="267">
        <v>37</v>
      </c>
      <c r="S30" s="263">
        <f>SUM(P30:R30)</f>
        <v>37</v>
      </c>
      <c r="T30" s="263">
        <v>0</v>
      </c>
      <c r="U30" s="266">
        <f>S30+T30</f>
        <v>37</v>
      </c>
      <c r="V30" s="268">
        <v>45</v>
      </c>
      <c r="W30" s="267">
        <v>0</v>
      </c>
      <c r="X30" s="267">
        <v>75</v>
      </c>
      <c r="Y30" s="263">
        <f>SUM(V30:X30)</f>
        <v>120</v>
      </c>
      <c r="Z30" s="263">
        <v>0</v>
      </c>
      <c r="AA30" s="266">
        <f>Y30+Z30</f>
        <v>120</v>
      </c>
      <c r="AB30" s="232">
        <f>(AA30/O30)</f>
        <v>1.6</v>
      </c>
      <c r="AC30" s="178"/>
      <c r="AD30" s="178"/>
    </row>
    <row r="31" spans="1:30" ht="15.75" thickBot="1" x14ac:dyDescent="0.3">
      <c r="A31" s="180"/>
      <c r="B31" s="274" t="s">
        <v>51</v>
      </c>
      <c r="C31" s="273" t="s">
        <v>122</v>
      </c>
      <c r="D31" s="267">
        <v>0</v>
      </c>
      <c r="E31" s="267">
        <v>0</v>
      </c>
      <c r="F31" s="267">
        <v>-4339</v>
      </c>
      <c r="G31" s="263">
        <f>SUM(D31:F31)</f>
        <v>-4339</v>
      </c>
      <c r="H31" s="263">
        <v>0</v>
      </c>
      <c r="I31" s="266">
        <f>G31+H31</f>
        <v>-4339</v>
      </c>
      <c r="J31" s="268">
        <v>0</v>
      </c>
      <c r="K31" s="267">
        <v>0</v>
      </c>
      <c r="L31" s="267">
        <v>0</v>
      </c>
      <c r="M31" s="263">
        <v>0</v>
      </c>
      <c r="N31" s="263">
        <v>0</v>
      </c>
      <c r="O31" s="266">
        <v>0</v>
      </c>
      <c r="P31" s="268">
        <v>0</v>
      </c>
      <c r="Q31" s="267">
        <v>0</v>
      </c>
      <c r="R31" s="267">
        <v>-2107</v>
      </c>
      <c r="S31" s="263">
        <f>SUM(P31:R31)</f>
        <v>-2107</v>
      </c>
      <c r="T31" s="263">
        <v>0</v>
      </c>
      <c r="U31" s="266">
        <f>S31+T31</f>
        <v>-2107</v>
      </c>
      <c r="V31" s="268">
        <v>0</v>
      </c>
      <c r="W31" s="267">
        <v>0</v>
      </c>
      <c r="X31" s="267">
        <v>0</v>
      </c>
      <c r="Y31" s="263">
        <f>SUM(V31:X31)</f>
        <v>0</v>
      </c>
      <c r="Z31" s="263">
        <v>0</v>
      </c>
      <c r="AA31" s="266">
        <f>Y31+Z31</f>
        <v>0</v>
      </c>
      <c r="AB31" s="232"/>
      <c r="AC31" s="178"/>
      <c r="AD31" s="178"/>
    </row>
    <row r="32" spans="1:30" x14ac:dyDescent="0.25">
      <c r="A32" s="180"/>
      <c r="B32" s="294" t="s">
        <v>49</v>
      </c>
      <c r="C32" s="273" t="s">
        <v>50</v>
      </c>
      <c r="D32" s="267">
        <v>50</v>
      </c>
      <c r="E32" s="267">
        <v>6630</v>
      </c>
      <c r="F32" s="267">
        <v>1481</v>
      </c>
      <c r="G32" s="263">
        <f>SUM(D32:F32)</f>
        <v>8161</v>
      </c>
      <c r="H32" s="263">
        <v>69</v>
      </c>
      <c r="I32" s="266">
        <f>G32+H32</f>
        <v>8230</v>
      </c>
      <c r="J32" s="268">
        <v>319</v>
      </c>
      <c r="K32" s="267">
        <v>3000</v>
      </c>
      <c r="L32" s="267">
        <v>2660</v>
      </c>
      <c r="M32" s="263">
        <f>SUM(J32:L32)</f>
        <v>5979</v>
      </c>
      <c r="N32" s="263">
        <v>200</v>
      </c>
      <c r="O32" s="266">
        <f>M32+N32</f>
        <v>6179</v>
      </c>
      <c r="P32" s="268">
        <v>145</v>
      </c>
      <c r="Q32" s="267">
        <v>0</v>
      </c>
      <c r="R32" s="267">
        <v>2900</v>
      </c>
      <c r="S32" s="263">
        <f>SUM(P32:R32)</f>
        <v>3045</v>
      </c>
      <c r="T32" s="263">
        <v>0</v>
      </c>
      <c r="U32" s="266">
        <f>S32+T32</f>
        <v>3045</v>
      </c>
      <c r="V32" s="268">
        <v>225</v>
      </c>
      <c r="W32" s="267">
        <v>3000</v>
      </c>
      <c r="X32" s="267">
        <v>2215</v>
      </c>
      <c r="Y32" s="263">
        <f>SUM(V32:X32)</f>
        <v>5440</v>
      </c>
      <c r="Z32" s="263">
        <v>150</v>
      </c>
      <c r="AA32" s="266">
        <f>Y32+Z32</f>
        <v>5590</v>
      </c>
      <c r="AB32" s="232">
        <f>(AA32/O32)</f>
        <v>0.90467713222204238</v>
      </c>
      <c r="AC32" s="178"/>
      <c r="AD32" s="178"/>
    </row>
    <row r="33" spans="1:30" x14ac:dyDescent="0.25">
      <c r="A33" s="180"/>
      <c r="B33" s="274" t="s">
        <v>47</v>
      </c>
      <c r="C33" s="273" t="s">
        <v>48</v>
      </c>
      <c r="D33" s="277">
        <v>2500</v>
      </c>
      <c r="E33" s="267">
        <v>0</v>
      </c>
      <c r="F33" s="267">
        <v>2281</v>
      </c>
      <c r="G33" s="263">
        <f>SUM(D33:F33)</f>
        <v>4781</v>
      </c>
      <c r="H33" s="263">
        <v>9</v>
      </c>
      <c r="I33" s="266">
        <f>G33+H33</f>
        <v>4790</v>
      </c>
      <c r="J33" s="275">
        <v>2200</v>
      </c>
      <c r="K33" s="267">
        <v>0</v>
      </c>
      <c r="L33" s="267">
        <v>2300</v>
      </c>
      <c r="M33" s="263">
        <f>SUM(J33:L33)</f>
        <v>4500</v>
      </c>
      <c r="N33" s="263">
        <v>0</v>
      </c>
      <c r="O33" s="266">
        <f>M33+N33</f>
        <v>4500</v>
      </c>
      <c r="P33" s="275">
        <v>1168</v>
      </c>
      <c r="Q33" s="267">
        <v>0</v>
      </c>
      <c r="R33" s="267">
        <v>1150</v>
      </c>
      <c r="S33" s="263">
        <f>SUM(P33:R33)</f>
        <v>2318</v>
      </c>
      <c r="T33" s="263">
        <v>-7</v>
      </c>
      <c r="U33" s="266">
        <f>S33+T33</f>
        <v>2311</v>
      </c>
      <c r="V33" s="275">
        <v>2505</v>
      </c>
      <c r="W33" s="267">
        <v>0</v>
      </c>
      <c r="X33" s="267">
        <v>2695</v>
      </c>
      <c r="Y33" s="263">
        <f>SUM(V33:X33)</f>
        <v>5200</v>
      </c>
      <c r="Z33" s="263">
        <v>0</v>
      </c>
      <c r="AA33" s="266">
        <f>Y33+Z33</f>
        <v>5200</v>
      </c>
      <c r="AB33" s="232">
        <f>(AA33/O33)</f>
        <v>1.1555555555555554</v>
      </c>
      <c r="AC33" s="178"/>
      <c r="AD33" s="178"/>
    </row>
    <row r="34" spans="1:30" x14ac:dyDescent="0.25">
      <c r="A34" s="180"/>
      <c r="B34" s="274" t="s">
        <v>45</v>
      </c>
      <c r="C34" s="280" t="s">
        <v>46</v>
      </c>
      <c r="D34" s="277">
        <v>2500</v>
      </c>
      <c r="E34" s="267">
        <v>0</v>
      </c>
      <c r="F34" s="267">
        <v>2024</v>
      </c>
      <c r="G34" s="263">
        <f>SUM(D34:F34)</f>
        <v>4524</v>
      </c>
      <c r="H34" s="263">
        <v>9</v>
      </c>
      <c r="I34" s="266">
        <f>G34+H34</f>
        <v>4533</v>
      </c>
      <c r="J34" s="275">
        <v>2200</v>
      </c>
      <c r="K34" s="267">
        <v>0</v>
      </c>
      <c r="L34" s="267">
        <v>1900</v>
      </c>
      <c r="M34" s="263">
        <f>SUM(J34:L34)</f>
        <v>4100</v>
      </c>
      <c r="N34" s="263">
        <v>0</v>
      </c>
      <c r="O34" s="266">
        <f>M34+N34</f>
        <v>4100</v>
      </c>
      <c r="P34" s="275">
        <v>1168</v>
      </c>
      <c r="Q34" s="267">
        <v>0</v>
      </c>
      <c r="R34" s="267">
        <v>1092</v>
      </c>
      <c r="S34" s="263">
        <f>SUM(P34:R34)</f>
        <v>2260</v>
      </c>
      <c r="T34" s="263">
        <v>-7</v>
      </c>
      <c r="U34" s="266">
        <f>S34+T34</f>
        <v>2253</v>
      </c>
      <c r="V34" s="275">
        <v>2505</v>
      </c>
      <c r="W34" s="267">
        <v>0</v>
      </c>
      <c r="X34" s="267">
        <v>2395</v>
      </c>
      <c r="Y34" s="263">
        <f>SUM(V34:X34)</f>
        <v>4900</v>
      </c>
      <c r="Z34" s="263">
        <v>0</v>
      </c>
      <c r="AA34" s="266">
        <f>Y34+Z34</f>
        <v>4900</v>
      </c>
      <c r="AB34" s="232">
        <f>(AA34/O34)</f>
        <v>1.1951219512195121</v>
      </c>
      <c r="AC34" s="178"/>
      <c r="AD34" s="178"/>
    </row>
    <row r="35" spans="1:30" ht="15.75" thickBot="1" x14ac:dyDescent="0.3">
      <c r="A35" s="180"/>
      <c r="B35" s="274" t="s">
        <v>43</v>
      </c>
      <c r="C35" s="278" t="s">
        <v>44</v>
      </c>
      <c r="D35" s="277">
        <v>0</v>
      </c>
      <c r="E35" s="267">
        <v>0</v>
      </c>
      <c r="F35" s="267">
        <v>257</v>
      </c>
      <c r="G35" s="263">
        <f>SUM(D35:F35)</f>
        <v>257</v>
      </c>
      <c r="H35" s="263">
        <v>0</v>
      </c>
      <c r="I35" s="266">
        <f>G35+H35</f>
        <v>257</v>
      </c>
      <c r="J35" s="275">
        <v>0</v>
      </c>
      <c r="K35" s="267">
        <v>0</v>
      </c>
      <c r="L35" s="267">
        <v>400</v>
      </c>
      <c r="M35" s="263">
        <f>SUM(J35:L35)</f>
        <v>400</v>
      </c>
      <c r="N35" s="263">
        <v>0</v>
      </c>
      <c r="O35" s="266">
        <f>M35+N35</f>
        <v>400</v>
      </c>
      <c r="P35" s="275">
        <v>0</v>
      </c>
      <c r="Q35" s="267">
        <v>0</v>
      </c>
      <c r="R35" s="267">
        <v>58</v>
      </c>
      <c r="S35" s="263">
        <f>SUM(P35:R35)</f>
        <v>58</v>
      </c>
      <c r="T35" s="263">
        <v>0</v>
      </c>
      <c r="U35" s="266">
        <f>S35+T35</f>
        <v>58</v>
      </c>
      <c r="V35" s="275">
        <v>0</v>
      </c>
      <c r="W35" s="267">
        <v>0</v>
      </c>
      <c r="X35" s="267">
        <v>300</v>
      </c>
      <c r="Y35" s="263">
        <f>SUM(V35:X35)</f>
        <v>300</v>
      </c>
      <c r="Z35" s="263">
        <v>0</v>
      </c>
      <c r="AA35" s="266">
        <f>Y35+Z35</f>
        <v>300</v>
      </c>
      <c r="AB35" s="232">
        <f>(AA35/O35)</f>
        <v>0.75</v>
      </c>
      <c r="AC35" s="178"/>
      <c r="AD35" s="178"/>
    </row>
    <row r="36" spans="1:30" x14ac:dyDescent="0.25">
      <c r="A36" s="180"/>
      <c r="B36" s="294" t="s">
        <v>41</v>
      </c>
      <c r="C36" s="273" t="s">
        <v>42</v>
      </c>
      <c r="D36" s="277">
        <v>850</v>
      </c>
      <c r="E36" s="267">
        <v>0</v>
      </c>
      <c r="F36" s="267">
        <v>730</v>
      </c>
      <c r="G36" s="263">
        <f>SUM(D36:F36)</f>
        <v>1580</v>
      </c>
      <c r="H36" s="263">
        <v>0</v>
      </c>
      <c r="I36" s="266">
        <f>G36+H36</f>
        <v>1580</v>
      </c>
      <c r="J36" s="275">
        <v>750</v>
      </c>
      <c r="K36" s="267">
        <v>0</v>
      </c>
      <c r="L36" s="267">
        <v>779</v>
      </c>
      <c r="M36" s="263">
        <f>SUM(J36:L36)</f>
        <v>1529</v>
      </c>
      <c r="N36" s="263">
        <v>0</v>
      </c>
      <c r="O36" s="266">
        <f>M36+N36</f>
        <v>1529</v>
      </c>
      <c r="P36" s="275">
        <v>390</v>
      </c>
      <c r="Q36" s="267">
        <v>0</v>
      </c>
      <c r="R36" s="267">
        <v>383</v>
      </c>
      <c r="S36" s="263">
        <f>SUM(P36:R36)</f>
        <v>773</v>
      </c>
      <c r="T36" s="263">
        <v>-2</v>
      </c>
      <c r="U36" s="266">
        <f>S36+T36</f>
        <v>771</v>
      </c>
      <c r="V36" s="275">
        <v>820</v>
      </c>
      <c r="W36" s="267">
        <v>0</v>
      </c>
      <c r="X36" s="267">
        <v>890</v>
      </c>
      <c r="Y36" s="263">
        <f>SUM(V36:X36)</f>
        <v>1710</v>
      </c>
      <c r="Z36" s="263">
        <v>0</v>
      </c>
      <c r="AA36" s="266">
        <f>Y36+Z36</f>
        <v>1710</v>
      </c>
      <c r="AB36" s="232">
        <f>(AA36/O36)</f>
        <v>1.118378024852845</v>
      </c>
      <c r="AC36" s="178"/>
      <c r="AD36" s="178"/>
    </row>
    <row r="37" spans="1:30" x14ac:dyDescent="0.25">
      <c r="A37" s="180"/>
      <c r="B37" s="274" t="s">
        <v>39</v>
      </c>
      <c r="C37" s="273" t="s">
        <v>40</v>
      </c>
      <c r="D37" s="267">
        <v>0</v>
      </c>
      <c r="E37" s="267">
        <v>0</v>
      </c>
      <c r="F37" s="267">
        <v>10</v>
      </c>
      <c r="G37" s="263">
        <f>SUM(D37:F37)</f>
        <v>10</v>
      </c>
      <c r="H37" s="263">
        <v>0.4</v>
      </c>
      <c r="I37" s="266">
        <f>G37+H37</f>
        <v>10.4</v>
      </c>
      <c r="J37" s="268">
        <v>0</v>
      </c>
      <c r="K37" s="267">
        <v>0</v>
      </c>
      <c r="L37" s="267">
        <v>16</v>
      </c>
      <c r="M37" s="263">
        <f>SUM(J37:L37)</f>
        <v>16</v>
      </c>
      <c r="N37" s="263">
        <v>0</v>
      </c>
      <c r="O37" s="266">
        <f>M37+N37</f>
        <v>16</v>
      </c>
      <c r="P37" s="268">
        <v>0</v>
      </c>
      <c r="Q37" s="267">
        <v>0</v>
      </c>
      <c r="R37" s="267">
        <v>3</v>
      </c>
      <c r="S37" s="263">
        <f>SUM(P37:R37)</f>
        <v>3</v>
      </c>
      <c r="T37" s="263">
        <v>0</v>
      </c>
      <c r="U37" s="266">
        <f>S37+T37</f>
        <v>3</v>
      </c>
      <c r="V37" s="268">
        <v>0</v>
      </c>
      <c r="W37" s="267">
        <v>0</v>
      </c>
      <c r="X37" s="267"/>
      <c r="Y37" s="263">
        <f>SUM(V37:X37)</f>
        <v>0</v>
      </c>
      <c r="Z37" s="263">
        <v>0</v>
      </c>
      <c r="AA37" s="266">
        <f>Y37+Z37</f>
        <v>0</v>
      </c>
      <c r="AB37" s="232">
        <f>(AA37/O37)</f>
        <v>0</v>
      </c>
      <c r="AC37" s="178"/>
      <c r="AD37" s="178"/>
    </row>
    <row r="38" spans="1:30" x14ac:dyDescent="0.25">
      <c r="A38" s="180"/>
      <c r="B38" s="274" t="s">
        <v>37</v>
      </c>
      <c r="C38" s="273" t="s">
        <v>38</v>
      </c>
      <c r="D38" s="267">
        <v>1114</v>
      </c>
      <c r="E38" s="267">
        <v>0</v>
      </c>
      <c r="F38" s="267">
        <v>0</v>
      </c>
      <c r="G38" s="263">
        <f>SUM(D38:F38)</f>
        <v>1114</v>
      </c>
      <c r="H38" s="263">
        <v>0</v>
      </c>
      <c r="I38" s="266">
        <f>G38+H38</f>
        <v>1114</v>
      </c>
      <c r="J38" s="268">
        <v>1165</v>
      </c>
      <c r="K38" s="267">
        <v>0</v>
      </c>
      <c r="L38" s="267">
        <v>0</v>
      </c>
      <c r="M38" s="263">
        <f>SUM(J38:L38)</f>
        <v>1165</v>
      </c>
      <c r="N38" s="263">
        <v>0</v>
      </c>
      <c r="O38" s="266">
        <f>M38+N38</f>
        <v>1165</v>
      </c>
      <c r="P38" s="268">
        <v>592</v>
      </c>
      <c r="Q38" s="267">
        <v>0</v>
      </c>
      <c r="R38" s="267">
        <v>0</v>
      </c>
      <c r="S38" s="263">
        <f>SUM(P38:R38)</f>
        <v>592</v>
      </c>
      <c r="T38" s="263">
        <v>0</v>
      </c>
      <c r="U38" s="266">
        <f>S38+T38</f>
        <v>592</v>
      </c>
      <c r="V38" s="268">
        <v>1165</v>
      </c>
      <c r="W38" s="267">
        <v>0</v>
      </c>
      <c r="X38" s="267">
        <v>0</v>
      </c>
      <c r="Y38" s="263">
        <f>SUM(V38:X38)</f>
        <v>1165</v>
      </c>
      <c r="Z38" s="263">
        <v>0</v>
      </c>
      <c r="AA38" s="266">
        <f>Y38+Z38</f>
        <v>1165</v>
      </c>
      <c r="AB38" s="232">
        <f>(AA38/O38)</f>
        <v>1</v>
      </c>
      <c r="AC38" s="178"/>
      <c r="AD38" s="178"/>
    </row>
    <row r="39" spans="1:30" x14ac:dyDescent="0.25">
      <c r="A39" s="180"/>
      <c r="B39" s="274" t="s">
        <v>121</v>
      </c>
      <c r="C39" s="264" t="s">
        <v>120</v>
      </c>
      <c r="D39" s="257">
        <v>0</v>
      </c>
      <c r="E39" s="257">
        <v>0</v>
      </c>
      <c r="F39" s="257">
        <v>1455</v>
      </c>
      <c r="G39" s="263">
        <f>SUM(D39:F39)</f>
        <v>1455</v>
      </c>
      <c r="H39" s="263">
        <v>0</v>
      </c>
      <c r="I39" s="266">
        <f>G39+H39</f>
        <v>1455</v>
      </c>
      <c r="J39" s="258">
        <v>0</v>
      </c>
      <c r="K39" s="257">
        <v>0</v>
      </c>
      <c r="L39" s="257">
        <v>0</v>
      </c>
      <c r="M39" s="256">
        <f>SUM(J39:L39)</f>
        <v>0</v>
      </c>
      <c r="N39" s="256">
        <v>0</v>
      </c>
      <c r="O39" s="255">
        <f>M39+N39</f>
        <v>0</v>
      </c>
      <c r="P39" s="258">
        <v>0</v>
      </c>
      <c r="Q39" s="257">
        <v>0</v>
      </c>
      <c r="R39" s="257">
        <v>0</v>
      </c>
      <c r="S39" s="256">
        <f>SUM(P39:R39)</f>
        <v>0</v>
      </c>
      <c r="T39" s="256">
        <v>0</v>
      </c>
      <c r="U39" s="420">
        <f>S39+T39</f>
        <v>0</v>
      </c>
      <c r="V39" s="258">
        <v>0</v>
      </c>
      <c r="W39" s="257">
        <v>0</v>
      </c>
      <c r="X39" s="257">
        <v>0</v>
      </c>
      <c r="Y39" s="256">
        <f>SUM(V39:X39)</f>
        <v>0</v>
      </c>
      <c r="Z39" s="256">
        <v>0</v>
      </c>
      <c r="AA39" s="420">
        <f>Y39+Z39</f>
        <v>0</v>
      </c>
      <c r="AB39" s="419" t="e">
        <f>(AA39/O39)</f>
        <v>#DIV/0!</v>
      </c>
      <c r="AC39" s="178"/>
      <c r="AD39" s="178"/>
    </row>
    <row r="40" spans="1:30" ht="15.75" thickBot="1" x14ac:dyDescent="0.3">
      <c r="A40" s="180"/>
      <c r="B40" s="274" t="s">
        <v>35</v>
      </c>
      <c r="C40" s="264" t="s">
        <v>36</v>
      </c>
      <c r="D40" s="257">
        <v>46</v>
      </c>
      <c r="E40" s="257">
        <v>0</v>
      </c>
      <c r="F40" s="257">
        <v>1630</v>
      </c>
      <c r="G40" s="263">
        <f>SUM(D40:F40)</f>
        <v>1676</v>
      </c>
      <c r="H40" s="256">
        <v>0</v>
      </c>
      <c r="I40" s="255">
        <f>G40+H40</f>
        <v>1676</v>
      </c>
      <c r="J40" s="258">
        <v>100</v>
      </c>
      <c r="K40" s="257">
        <v>0</v>
      </c>
      <c r="L40" s="257">
        <v>515</v>
      </c>
      <c r="M40" s="256">
        <f>SUM(J40:L40)</f>
        <v>615</v>
      </c>
      <c r="N40" s="256">
        <v>0</v>
      </c>
      <c r="O40" s="255">
        <f>M40+N40</f>
        <v>615</v>
      </c>
      <c r="P40" s="258">
        <v>26</v>
      </c>
      <c r="Q40" s="257">
        <v>0</v>
      </c>
      <c r="R40" s="257">
        <v>1148</v>
      </c>
      <c r="S40" s="256">
        <f>SUM(P40:R40)</f>
        <v>1174</v>
      </c>
      <c r="T40" s="256">
        <v>0</v>
      </c>
      <c r="U40" s="255">
        <f>S40+T40</f>
        <v>1174</v>
      </c>
      <c r="V40" s="258">
        <v>100</v>
      </c>
      <c r="W40" s="257">
        <v>0</v>
      </c>
      <c r="X40" s="257"/>
      <c r="Y40" s="256">
        <f>SUM(V40:X40)</f>
        <v>100</v>
      </c>
      <c r="Z40" s="256">
        <v>0</v>
      </c>
      <c r="AA40" s="255">
        <f>Y40+Z40</f>
        <v>100</v>
      </c>
      <c r="AB40" s="254">
        <f>(AA40/O40)</f>
        <v>0.16260162601626016</v>
      </c>
      <c r="AC40" s="178"/>
      <c r="AD40" s="178"/>
    </row>
    <row r="41" spans="1:30" ht="15.75" thickBot="1" x14ac:dyDescent="0.3">
      <c r="A41" s="180"/>
      <c r="B41" s="253" t="s">
        <v>119</v>
      </c>
      <c r="C41" s="252" t="s">
        <v>34</v>
      </c>
      <c r="D41" s="251">
        <f>SUM(D36:D40)+SUM(D28:D33)</f>
        <v>4680</v>
      </c>
      <c r="E41" s="251">
        <f>SUM(E36:E40)+SUM(E28:E33)</f>
        <v>9630</v>
      </c>
      <c r="F41" s="251">
        <f>SUM(F36:F40)+SUM(F28:F33)</f>
        <v>7107</v>
      </c>
      <c r="G41" s="250">
        <f>SUM(D41:F41)</f>
        <v>21417</v>
      </c>
      <c r="H41" s="249">
        <f>SUM(H28:H33)+SUM(H36:H40)</f>
        <v>78.400000000000006</v>
      </c>
      <c r="I41" s="248">
        <f>SUM(I36:I40)+SUM(I28:I33)</f>
        <v>21495.4</v>
      </c>
      <c r="J41" s="251">
        <f>SUM(J36:J40)+SUM(J28:J33)</f>
        <v>4704</v>
      </c>
      <c r="K41" s="251">
        <f>SUM(K36:K40)+SUM(K28:K33)</f>
        <v>4500</v>
      </c>
      <c r="L41" s="251">
        <f>SUM(L36:L40)+SUM(L28:L33)</f>
        <v>8795</v>
      </c>
      <c r="M41" s="250">
        <f>SUM(J41:L41)</f>
        <v>17999</v>
      </c>
      <c r="N41" s="249">
        <f>SUM(N28:N33)+SUM(N36:N40)</f>
        <v>200</v>
      </c>
      <c r="O41" s="248">
        <f>SUM(O36:O40)+SUM(O28:O33)</f>
        <v>18199</v>
      </c>
      <c r="P41" s="251">
        <f>SUM(P36:P40)+SUM(P28:P33)</f>
        <v>2352</v>
      </c>
      <c r="Q41" s="251">
        <f>SUM(Q36:Q40)+SUM(Q28:Q33)</f>
        <v>0</v>
      </c>
      <c r="R41" s="251">
        <f>SUM(R36:R40)+SUM(R28:R33)</f>
        <v>7493</v>
      </c>
      <c r="S41" s="250">
        <f>SUM(P41:R41)</f>
        <v>9845</v>
      </c>
      <c r="T41" s="249">
        <f>SUM(T28:T33)+SUM(T36:T40)</f>
        <v>-9</v>
      </c>
      <c r="U41" s="248">
        <f>SUM(U36:U40)+SUM(U28:U33)</f>
        <v>9836</v>
      </c>
      <c r="V41" s="251">
        <f>SUM(V36:V40)+SUM(V28:V33)</f>
        <v>5050</v>
      </c>
      <c r="W41" s="251">
        <f>SUM(W36:W40)+SUM(W28:W33)</f>
        <v>4500</v>
      </c>
      <c r="X41" s="251">
        <f>SUM(X36:X40)+SUM(X28:X33)</f>
        <v>8125</v>
      </c>
      <c r="Y41" s="250">
        <f>SUM(V41:X41)</f>
        <v>17675</v>
      </c>
      <c r="Z41" s="249">
        <f>SUM(Z28:Z33)+SUM(Z36:Z40)</f>
        <v>150</v>
      </c>
      <c r="AA41" s="248">
        <f>SUM(AA36:AA40)+SUM(AA28:AA33)</f>
        <v>17825</v>
      </c>
      <c r="AB41" s="247">
        <f>(AA41/O41)</f>
        <v>0.97944942029781856</v>
      </c>
      <c r="AC41" s="178"/>
      <c r="AD41" s="178"/>
    </row>
    <row r="42" spans="1:30" ht="19.5" thickBot="1" x14ac:dyDescent="0.35">
      <c r="A42" s="180"/>
      <c r="B42" s="246" t="s">
        <v>33</v>
      </c>
      <c r="C42" s="245" t="s">
        <v>32</v>
      </c>
      <c r="D42" s="244">
        <f>D24-D41</f>
        <v>0</v>
      </c>
      <c r="E42" s="244">
        <f>E24-E41</f>
        <v>0</v>
      </c>
      <c r="F42" s="244">
        <f>F24-F41</f>
        <v>2</v>
      </c>
      <c r="G42" s="243">
        <f>G24-G41</f>
        <v>2</v>
      </c>
      <c r="H42" s="243">
        <f>H24-H41</f>
        <v>251.29999999999998</v>
      </c>
      <c r="I42" s="242">
        <f>I24-I41</f>
        <v>253.29999999999927</v>
      </c>
      <c r="J42" s="244">
        <f>J24-J41</f>
        <v>0</v>
      </c>
      <c r="K42" s="244">
        <f>K24-K41</f>
        <v>0</v>
      </c>
      <c r="L42" s="244">
        <f>L24-L41</f>
        <v>0</v>
      </c>
      <c r="M42" s="243">
        <f>M24-M41</f>
        <v>0</v>
      </c>
      <c r="N42" s="243">
        <f>N24-N41</f>
        <v>0</v>
      </c>
      <c r="O42" s="242">
        <f>O24-O41</f>
        <v>0</v>
      </c>
      <c r="P42" s="244">
        <f>P24-P41</f>
        <v>0</v>
      </c>
      <c r="Q42" s="244">
        <f>Q24-Q41</f>
        <v>1297</v>
      </c>
      <c r="R42" s="244">
        <f>R24-R41</f>
        <v>-3571</v>
      </c>
      <c r="S42" s="243">
        <f>S24-S41</f>
        <v>-2274</v>
      </c>
      <c r="T42" s="243">
        <f>T24-T41</f>
        <v>95.3</v>
      </c>
      <c r="U42" s="242">
        <f>U24-U41</f>
        <v>-2178.6999999999998</v>
      </c>
      <c r="V42" s="244">
        <f>V24-V41</f>
        <v>0</v>
      </c>
      <c r="W42" s="244">
        <f>W24-W41</f>
        <v>0</v>
      </c>
      <c r="X42" s="244">
        <f>X24-X41</f>
        <v>0</v>
      </c>
      <c r="Y42" s="243">
        <f>Y24-Y41</f>
        <v>0</v>
      </c>
      <c r="Z42" s="243">
        <f>Z24-Z41</f>
        <v>0</v>
      </c>
      <c r="AA42" s="242">
        <f>AA24-AA41</f>
        <v>0</v>
      </c>
      <c r="AB42" s="241" t="e">
        <f>(AA42/O42)</f>
        <v>#DIV/0!</v>
      </c>
      <c r="AC42" s="178"/>
      <c r="AD42" s="178"/>
    </row>
    <row r="43" spans="1:30" ht="15.75" thickBot="1" x14ac:dyDescent="0.3">
      <c r="A43" s="180"/>
      <c r="B43" s="240" t="s">
        <v>31</v>
      </c>
      <c r="C43" s="239" t="s">
        <v>30</v>
      </c>
      <c r="D43" s="237"/>
      <c r="E43" s="236"/>
      <c r="F43" s="236"/>
      <c r="G43" s="235"/>
      <c r="H43" s="238"/>
      <c r="I43" s="233">
        <f>I42-D16</f>
        <v>-4426.7000000000007</v>
      </c>
      <c r="J43" s="237"/>
      <c r="K43" s="236"/>
      <c r="L43" s="236"/>
      <c r="M43" s="235"/>
      <c r="N43" s="234"/>
      <c r="O43" s="233">
        <f>O42-J16</f>
        <v>-4704</v>
      </c>
      <c r="P43" s="237"/>
      <c r="Q43" s="236"/>
      <c r="R43" s="236"/>
      <c r="S43" s="235"/>
      <c r="T43" s="234"/>
      <c r="U43" s="233">
        <f>U42-P16</f>
        <v>-4530.7</v>
      </c>
      <c r="V43" s="237"/>
      <c r="W43" s="236"/>
      <c r="X43" s="236"/>
      <c r="Y43" s="235"/>
      <c r="Z43" s="234"/>
      <c r="AA43" s="233">
        <f>AA42-V16</f>
        <v>-5050</v>
      </c>
      <c r="AB43" s="232">
        <f>(AA43/O43)</f>
        <v>1.0735544217687074</v>
      </c>
      <c r="AC43" s="178"/>
      <c r="AD43" s="178"/>
    </row>
    <row r="44" spans="1:30" s="191" customFormat="1" ht="8.25" customHeight="1" thickBot="1" x14ac:dyDescent="0.3">
      <c r="A44" s="189"/>
      <c r="B44" s="231"/>
      <c r="C44" s="203"/>
      <c r="D44" s="230"/>
      <c r="E44" s="202"/>
      <c r="F44" s="202"/>
      <c r="G44" s="189"/>
      <c r="H44" s="202"/>
      <c r="I44" s="202"/>
      <c r="J44" s="230"/>
      <c r="K44" s="202"/>
      <c r="L44" s="202"/>
      <c r="M44" s="189"/>
      <c r="N44" s="202"/>
      <c r="O44" s="202"/>
      <c r="P44" s="202"/>
      <c r="Q44" s="202"/>
      <c r="R44" s="202"/>
      <c r="S44" s="202"/>
      <c r="T44" s="202"/>
      <c r="U44" s="202"/>
      <c r="V44" s="217"/>
      <c r="W44" s="217"/>
      <c r="X44" s="217"/>
      <c r="Y44" s="217"/>
      <c r="Z44" s="217"/>
      <c r="AA44" s="217"/>
      <c r="AB44" s="217"/>
      <c r="AC44" s="217"/>
      <c r="AD44" s="217"/>
    </row>
    <row r="45" spans="1:30" s="191" customFormat="1" ht="15.75" customHeight="1" thickBot="1" x14ac:dyDescent="0.3">
      <c r="A45" s="189"/>
      <c r="B45" s="222"/>
      <c r="C45" s="221" t="s">
        <v>29</v>
      </c>
      <c r="D45" s="229" t="s">
        <v>28</v>
      </c>
      <c r="E45" s="228" t="s">
        <v>27</v>
      </c>
      <c r="F45" s="227" t="s">
        <v>26</v>
      </c>
      <c r="G45" s="202"/>
      <c r="H45" s="202"/>
      <c r="I45" s="201"/>
      <c r="J45" s="229" t="s">
        <v>28</v>
      </c>
      <c r="K45" s="228" t="s">
        <v>27</v>
      </c>
      <c r="L45" s="227" t="s">
        <v>26</v>
      </c>
      <c r="M45" s="202"/>
      <c r="N45" s="202"/>
      <c r="O45" s="202"/>
      <c r="P45" s="229" t="s">
        <v>28</v>
      </c>
      <c r="Q45" s="228" t="s">
        <v>27</v>
      </c>
      <c r="R45" s="227" t="s">
        <v>26</v>
      </c>
      <c r="S45" s="217"/>
      <c r="T45" s="217"/>
      <c r="U45" s="217"/>
      <c r="V45" s="229" t="s">
        <v>28</v>
      </c>
      <c r="W45" s="228" t="s">
        <v>27</v>
      </c>
      <c r="X45" s="227" t="s">
        <v>26</v>
      </c>
      <c r="Y45" s="217"/>
      <c r="Z45" s="217"/>
      <c r="AA45" s="217"/>
      <c r="AB45" s="217"/>
      <c r="AC45" s="217"/>
      <c r="AD45" s="217"/>
    </row>
    <row r="46" spans="1:30" ht="15.75" thickBot="1" x14ac:dyDescent="0.3">
      <c r="A46" s="180"/>
      <c r="B46" s="222"/>
      <c r="C46" s="226"/>
      <c r="D46" s="214"/>
      <c r="E46" s="225"/>
      <c r="F46" s="224">
        <v>0</v>
      </c>
      <c r="G46" s="202"/>
      <c r="H46" s="202"/>
      <c r="I46" s="201"/>
      <c r="J46" s="214"/>
      <c r="K46" s="225"/>
      <c r="L46" s="224">
        <v>0</v>
      </c>
      <c r="M46" s="223"/>
      <c r="N46" s="223"/>
      <c r="O46" s="223"/>
      <c r="P46" s="214"/>
      <c r="Q46" s="225"/>
      <c r="R46" s="224">
        <v>0</v>
      </c>
      <c r="S46" s="178"/>
      <c r="T46" s="178"/>
      <c r="U46" s="178"/>
      <c r="V46" s="214"/>
      <c r="W46" s="225"/>
      <c r="X46" s="224">
        <v>0</v>
      </c>
      <c r="Y46" s="178"/>
      <c r="Z46" s="178"/>
      <c r="AA46" s="178"/>
      <c r="AB46" s="178"/>
      <c r="AC46" s="178"/>
      <c r="AD46" s="178"/>
    </row>
    <row r="47" spans="1:30" s="191" customFormat="1" ht="8.25" customHeight="1" thickBot="1" x14ac:dyDescent="0.3">
      <c r="A47" s="189"/>
      <c r="B47" s="222"/>
      <c r="C47" s="203"/>
      <c r="D47" s="223"/>
      <c r="E47" s="202"/>
      <c r="F47" s="202"/>
      <c r="G47" s="202"/>
      <c r="H47" s="202"/>
      <c r="I47" s="201"/>
      <c r="J47" s="202"/>
      <c r="K47" s="202"/>
      <c r="L47" s="202"/>
      <c r="M47" s="202"/>
      <c r="N47" s="202"/>
      <c r="O47" s="201"/>
      <c r="P47" s="201"/>
      <c r="Q47" s="201"/>
      <c r="R47" s="201"/>
      <c r="S47" s="201"/>
      <c r="T47" s="201"/>
      <c r="U47" s="201"/>
      <c r="V47" s="217"/>
      <c r="W47" s="217"/>
      <c r="X47" s="217"/>
      <c r="Y47" s="217"/>
      <c r="Z47" s="217"/>
      <c r="AA47" s="217"/>
      <c r="AB47" s="217"/>
      <c r="AC47" s="217"/>
      <c r="AD47" s="217"/>
    </row>
    <row r="48" spans="1:30" s="191" customFormat="1" ht="37.5" customHeight="1" thickBot="1" x14ac:dyDescent="0.3">
      <c r="A48" s="189"/>
      <c r="B48" s="222"/>
      <c r="C48" s="221" t="s">
        <v>25</v>
      </c>
      <c r="D48" s="219" t="s">
        <v>24</v>
      </c>
      <c r="E48" s="218" t="s">
        <v>23</v>
      </c>
      <c r="F48" s="202"/>
      <c r="G48" s="202"/>
      <c r="H48" s="202"/>
      <c r="I48" s="201"/>
      <c r="J48" s="219" t="s">
        <v>24</v>
      </c>
      <c r="K48" s="218" t="s">
        <v>23</v>
      </c>
      <c r="L48" s="220"/>
      <c r="M48" s="220"/>
      <c r="N48" s="217"/>
      <c r="O48" s="217"/>
      <c r="P48" s="219" t="s">
        <v>24</v>
      </c>
      <c r="Q48" s="218" t="s">
        <v>23</v>
      </c>
      <c r="R48" s="217"/>
      <c r="S48" s="217"/>
      <c r="T48" s="217"/>
      <c r="U48" s="217"/>
      <c r="V48" s="219" t="s">
        <v>24</v>
      </c>
      <c r="W48" s="218" t="s">
        <v>23</v>
      </c>
      <c r="X48" s="217"/>
      <c r="Y48" s="217"/>
      <c r="Z48" s="217"/>
      <c r="AA48" s="217"/>
      <c r="AB48" s="217"/>
      <c r="AC48" s="217"/>
      <c r="AD48" s="217"/>
    </row>
    <row r="49" spans="1:30" ht="15.75" thickBot="1" x14ac:dyDescent="0.3">
      <c r="A49" s="180"/>
      <c r="B49" s="204"/>
      <c r="C49" s="216"/>
      <c r="D49" s="214">
        <v>2000</v>
      </c>
      <c r="E49" s="213">
        <v>1902.9</v>
      </c>
      <c r="F49" s="202"/>
      <c r="G49" s="202"/>
      <c r="H49" s="202"/>
      <c r="I49" s="201"/>
      <c r="J49" s="214">
        <v>0</v>
      </c>
      <c r="K49" s="213">
        <v>0</v>
      </c>
      <c r="L49" s="215"/>
      <c r="M49" s="215"/>
      <c r="N49" s="178"/>
      <c r="O49" s="178"/>
      <c r="P49" s="214">
        <v>0</v>
      </c>
      <c r="Q49" s="213">
        <v>0</v>
      </c>
      <c r="R49" s="178"/>
      <c r="S49" s="178"/>
      <c r="T49" s="178"/>
      <c r="U49" s="178"/>
      <c r="V49" s="214">
        <v>0</v>
      </c>
      <c r="W49" s="213">
        <v>0</v>
      </c>
      <c r="X49" s="178"/>
      <c r="Y49" s="178"/>
      <c r="Z49" s="178"/>
      <c r="AA49" s="178"/>
      <c r="AB49" s="178"/>
      <c r="AC49" s="178"/>
      <c r="AD49" s="178"/>
    </row>
    <row r="50" spans="1:30" x14ac:dyDescent="0.25">
      <c r="A50" s="180"/>
      <c r="B50" s="204"/>
      <c r="C50" s="203"/>
      <c r="D50" s="202"/>
      <c r="E50" s="202"/>
      <c r="F50" s="202"/>
      <c r="G50" s="202"/>
      <c r="H50" s="202"/>
      <c r="I50" s="201"/>
      <c r="J50" s="202"/>
      <c r="K50" s="202"/>
      <c r="L50" s="202"/>
      <c r="M50" s="202"/>
      <c r="N50" s="202"/>
      <c r="O50" s="201"/>
      <c r="P50" s="201"/>
      <c r="Q50" s="201"/>
      <c r="R50" s="201"/>
      <c r="S50" s="201"/>
      <c r="T50" s="201"/>
      <c r="U50" s="201"/>
      <c r="V50" s="178"/>
      <c r="W50" s="178"/>
      <c r="X50" s="178"/>
      <c r="Y50" s="178"/>
      <c r="Z50" s="178"/>
      <c r="AA50" s="178"/>
      <c r="AB50" s="178"/>
      <c r="AC50" s="178"/>
      <c r="AD50" s="178"/>
    </row>
    <row r="51" spans="1:30" x14ac:dyDescent="0.25">
      <c r="A51" s="180"/>
      <c r="B51" s="204"/>
      <c r="C51" s="208" t="s">
        <v>22</v>
      </c>
      <c r="D51" s="207" t="s">
        <v>20</v>
      </c>
      <c r="E51" s="207" t="s">
        <v>18</v>
      </c>
      <c r="F51" s="207" t="s">
        <v>17</v>
      </c>
      <c r="G51" s="207" t="s">
        <v>21</v>
      </c>
      <c r="H51" s="202"/>
      <c r="I51" s="178"/>
      <c r="J51" s="207" t="s">
        <v>20</v>
      </c>
      <c r="K51" s="207" t="s">
        <v>18</v>
      </c>
      <c r="L51" s="207" t="s">
        <v>17</v>
      </c>
      <c r="M51" s="207" t="s">
        <v>16</v>
      </c>
      <c r="N51" s="178"/>
      <c r="O51" s="178"/>
      <c r="P51" s="207" t="s">
        <v>20</v>
      </c>
      <c r="Q51" s="207" t="s">
        <v>18</v>
      </c>
      <c r="R51" s="207" t="s">
        <v>17</v>
      </c>
      <c r="S51" s="207" t="s">
        <v>16</v>
      </c>
      <c r="T51" s="178"/>
      <c r="U51" s="178"/>
      <c r="V51" s="207" t="s">
        <v>19</v>
      </c>
      <c r="W51" s="207" t="s">
        <v>18</v>
      </c>
      <c r="X51" s="207" t="s">
        <v>17</v>
      </c>
      <c r="Y51" s="207" t="s">
        <v>16</v>
      </c>
      <c r="Z51" s="178"/>
      <c r="AA51" s="178"/>
      <c r="AB51" s="178"/>
      <c r="AC51" s="178"/>
      <c r="AD51" s="178"/>
    </row>
    <row r="52" spans="1:30" x14ac:dyDescent="0.25">
      <c r="A52" s="180"/>
      <c r="B52" s="204"/>
      <c r="C52" s="206" t="s">
        <v>112</v>
      </c>
      <c r="D52" s="210"/>
      <c r="E52" s="210"/>
      <c r="F52" s="210"/>
      <c r="G52" s="209">
        <f>D52+E52-F52</f>
        <v>0</v>
      </c>
      <c r="H52" s="202"/>
      <c r="I52" s="178"/>
      <c r="J52" s="210"/>
      <c r="K52" s="210"/>
      <c r="L52" s="210"/>
      <c r="M52" s="209">
        <f>J52+K52-L52</f>
        <v>0</v>
      </c>
      <c r="N52" s="178"/>
      <c r="O52" s="178"/>
      <c r="P52" s="210"/>
      <c r="Q52" s="210"/>
      <c r="R52" s="210"/>
      <c r="S52" s="209">
        <f>P52+Q52-R52</f>
        <v>0</v>
      </c>
      <c r="T52" s="178"/>
      <c r="U52" s="178"/>
      <c r="V52" s="210"/>
      <c r="W52" s="210"/>
      <c r="X52" s="210"/>
      <c r="Y52" s="209">
        <f>V52+W52-X52</f>
        <v>0</v>
      </c>
      <c r="Z52" s="178"/>
      <c r="AA52" s="178"/>
      <c r="AB52" s="178"/>
      <c r="AC52" s="178"/>
      <c r="AD52" s="178"/>
    </row>
    <row r="53" spans="1:30" x14ac:dyDescent="0.25">
      <c r="A53" s="180"/>
      <c r="B53" s="204"/>
      <c r="C53" s="206" t="s">
        <v>15</v>
      </c>
      <c r="D53" s="210">
        <v>4070</v>
      </c>
      <c r="E53" s="210">
        <v>98.5</v>
      </c>
      <c r="F53" s="210">
        <v>0</v>
      </c>
      <c r="G53" s="209">
        <f>D53+E53-F53</f>
        <v>4168.5</v>
      </c>
      <c r="H53" s="202"/>
      <c r="I53" s="178"/>
      <c r="J53" s="210">
        <v>4168.5</v>
      </c>
      <c r="K53" s="210">
        <v>202.8</v>
      </c>
      <c r="L53" s="210">
        <v>0</v>
      </c>
      <c r="M53" s="209">
        <f>J53+K53-L53</f>
        <v>4371.3</v>
      </c>
      <c r="N53" s="178"/>
      <c r="O53" s="178"/>
      <c r="P53" s="210">
        <v>4168.5</v>
      </c>
      <c r="Q53" s="210">
        <v>202.8</v>
      </c>
      <c r="R53" s="210">
        <v>0</v>
      </c>
      <c r="S53" s="209">
        <f>P53+Q53-R53</f>
        <v>4371.3</v>
      </c>
      <c r="T53" s="178"/>
      <c r="U53" s="178"/>
      <c r="V53" s="210">
        <v>4371.3</v>
      </c>
      <c r="W53" s="210">
        <v>0</v>
      </c>
      <c r="X53" s="210">
        <v>0</v>
      </c>
      <c r="Y53" s="209">
        <f>V53+W53-X53</f>
        <v>4371.3</v>
      </c>
      <c r="Z53" s="178"/>
      <c r="AA53" s="178"/>
      <c r="AB53" s="178"/>
      <c r="AC53" s="178"/>
      <c r="AD53" s="178"/>
    </row>
    <row r="54" spans="1:30" x14ac:dyDescent="0.25">
      <c r="A54" s="180"/>
      <c r="B54" s="204"/>
      <c r="C54" s="206" t="s">
        <v>14</v>
      </c>
      <c r="D54" s="210">
        <v>2383.1</v>
      </c>
      <c r="E54" s="210">
        <v>4669.7</v>
      </c>
      <c r="F54" s="210">
        <v>4197.5</v>
      </c>
      <c r="G54" s="209">
        <f>D54+E54-F54</f>
        <v>2855.2999999999993</v>
      </c>
      <c r="H54" s="202"/>
      <c r="I54" s="178"/>
      <c r="J54" s="210">
        <v>2855.3</v>
      </c>
      <c r="K54" s="210">
        <v>418.6</v>
      </c>
      <c r="L54" s="210">
        <v>0</v>
      </c>
      <c r="M54" s="209">
        <f>J54+K54-L54</f>
        <v>3273.9</v>
      </c>
      <c r="N54" s="178"/>
      <c r="O54" s="178"/>
      <c r="P54" s="210">
        <v>2855.3</v>
      </c>
      <c r="Q54" s="210">
        <v>209.3</v>
      </c>
      <c r="R54" s="210">
        <v>0</v>
      </c>
      <c r="S54" s="209">
        <f>P54+Q54-R54</f>
        <v>3064.6000000000004</v>
      </c>
      <c r="T54" s="178"/>
      <c r="U54" s="178"/>
      <c r="V54" s="210">
        <v>3273.9</v>
      </c>
      <c r="W54" s="210">
        <v>418.6</v>
      </c>
      <c r="X54" s="210">
        <v>0</v>
      </c>
      <c r="Y54" s="209">
        <f>V54+W54-X54</f>
        <v>3692.5</v>
      </c>
      <c r="Z54" s="178"/>
      <c r="AA54" s="178"/>
      <c r="AB54" s="178"/>
      <c r="AC54" s="178"/>
      <c r="AD54" s="178"/>
    </row>
    <row r="55" spans="1:30" x14ac:dyDescent="0.25">
      <c r="A55" s="180"/>
      <c r="B55" s="204"/>
      <c r="C55" s="206" t="s">
        <v>13</v>
      </c>
      <c r="D55" s="210">
        <v>1235.9000000000001</v>
      </c>
      <c r="E55" s="210">
        <v>95</v>
      </c>
      <c r="F55" s="210">
        <v>0</v>
      </c>
      <c r="G55" s="209">
        <f>D55+E55-F55</f>
        <v>1330.9</v>
      </c>
      <c r="H55" s="202"/>
      <c r="I55" s="178"/>
      <c r="J55" s="210">
        <v>1330.9</v>
      </c>
      <c r="K55" s="210">
        <v>50.7</v>
      </c>
      <c r="L55" s="210">
        <v>0</v>
      </c>
      <c r="M55" s="209">
        <f>J55+K55-L55</f>
        <v>1381.6000000000001</v>
      </c>
      <c r="N55" s="178"/>
      <c r="O55" s="178"/>
      <c r="P55" s="210">
        <v>1330.9</v>
      </c>
      <c r="Q55" s="210">
        <v>50.7</v>
      </c>
      <c r="R55" s="210">
        <v>0</v>
      </c>
      <c r="S55" s="209">
        <f>P55+Q55-R55</f>
        <v>1381.6000000000001</v>
      </c>
      <c r="T55" s="178"/>
      <c r="U55" s="178"/>
      <c r="V55" s="210">
        <v>1381.6</v>
      </c>
      <c r="W55" s="210">
        <v>0</v>
      </c>
      <c r="X55" s="210">
        <v>0</v>
      </c>
      <c r="Y55" s="209">
        <f>V55+W55-X55</f>
        <v>1381.6</v>
      </c>
      <c r="Z55" s="178"/>
      <c r="AA55" s="178"/>
      <c r="AB55" s="178"/>
      <c r="AC55" s="178"/>
      <c r="AD55" s="178"/>
    </row>
    <row r="56" spans="1:30" x14ac:dyDescent="0.25">
      <c r="A56" s="180"/>
      <c r="B56" s="204"/>
      <c r="C56" s="212" t="s">
        <v>12</v>
      </c>
      <c r="D56" s="210">
        <v>216.6</v>
      </c>
      <c r="E56" s="210">
        <v>90.6</v>
      </c>
      <c r="F56" s="210">
        <v>113.1</v>
      </c>
      <c r="G56" s="209">
        <f>D56+E56-F56</f>
        <v>194.1</v>
      </c>
      <c r="H56" s="202"/>
      <c r="I56" s="178"/>
      <c r="J56" s="210">
        <v>194.1</v>
      </c>
      <c r="K56" s="210">
        <v>90</v>
      </c>
      <c r="L56" s="210">
        <v>100</v>
      </c>
      <c r="M56" s="209">
        <f>J56+K56-L56</f>
        <v>184.10000000000002</v>
      </c>
      <c r="N56" s="178"/>
      <c r="O56" s="178"/>
      <c r="P56" s="210">
        <v>194.1</v>
      </c>
      <c r="Q56" s="210">
        <v>45</v>
      </c>
      <c r="R56" s="210">
        <v>63.3</v>
      </c>
      <c r="S56" s="209">
        <f>P56+Q56-R56</f>
        <v>175.8</v>
      </c>
      <c r="T56" s="178"/>
      <c r="U56" s="178"/>
      <c r="V56" s="210">
        <v>184.1</v>
      </c>
      <c r="W56" s="210">
        <v>92</v>
      </c>
      <c r="X56" s="210">
        <v>105</v>
      </c>
      <c r="Y56" s="209">
        <f>V56+W56-X56</f>
        <v>171.10000000000002</v>
      </c>
      <c r="Z56" s="178"/>
      <c r="AA56" s="178"/>
      <c r="AB56" s="178"/>
      <c r="AC56" s="178"/>
      <c r="AD56" s="178"/>
    </row>
    <row r="57" spans="1:30" ht="10.5" customHeight="1" x14ac:dyDescent="0.25">
      <c r="A57" s="180"/>
      <c r="B57" s="204"/>
      <c r="C57" s="203"/>
      <c r="D57" s="202"/>
      <c r="E57" s="202"/>
      <c r="F57" s="202"/>
      <c r="G57" s="202"/>
      <c r="H57" s="202"/>
      <c r="I57" s="178"/>
      <c r="J57" s="178"/>
      <c r="K57" s="178"/>
      <c r="L57" s="178"/>
      <c r="M57" s="178"/>
      <c r="N57" s="178"/>
      <c r="O57" s="178"/>
      <c r="P57" s="178"/>
      <c r="Q57" s="178"/>
      <c r="R57" s="178"/>
      <c r="S57" s="178"/>
      <c r="T57" s="178"/>
      <c r="U57" s="178"/>
      <c r="V57" s="178"/>
      <c r="W57" s="178"/>
      <c r="X57" s="178"/>
      <c r="Y57" s="178"/>
      <c r="Z57" s="178"/>
      <c r="AA57" s="178"/>
      <c r="AB57" s="178"/>
      <c r="AC57" s="178"/>
      <c r="AD57" s="178"/>
    </row>
    <row r="58" spans="1:30" x14ac:dyDescent="0.25">
      <c r="A58" s="180"/>
      <c r="B58" s="204"/>
      <c r="C58" s="208" t="s">
        <v>11</v>
      </c>
      <c r="D58" s="207" t="s">
        <v>10</v>
      </c>
      <c r="E58" s="207" t="s">
        <v>9</v>
      </c>
      <c r="F58" s="202"/>
      <c r="G58" s="202"/>
      <c r="H58" s="202"/>
      <c r="I58" s="201"/>
      <c r="J58" s="207" t="s">
        <v>7</v>
      </c>
      <c r="K58" s="202"/>
      <c r="L58" s="202"/>
      <c r="M58" s="202"/>
      <c r="N58" s="202"/>
      <c r="O58" s="201"/>
      <c r="P58" s="207" t="s">
        <v>8</v>
      </c>
      <c r="Q58" s="201"/>
      <c r="R58" s="201"/>
      <c r="S58" s="201"/>
      <c r="T58" s="201"/>
      <c r="U58" s="201"/>
      <c r="V58" s="207" t="s">
        <v>7</v>
      </c>
      <c r="W58" s="178"/>
      <c r="X58" s="178"/>
      <c r="Y58" s="178"/>
      <c r="Z58" s="178"/>
      <c r="AA58" s="178"/>
      <c r="AB58" s="178"/>
      <c r="AC58" s="178"/>
      <c r="AD58" s="178"/>
    </row>
    <row r="59" spans="1:30" x14ac:dyDescent="0.25">
      <c r="A59" s="180"/>
      <c r="B59" s="204"/>
      <c r="C59" s="206"/>
      <c r="D59" s="205">
        <v>8</v>
      </c>
      <c r="E59" s="205">
        <v>9</v>
      </c>
      <c r="F59" s="202"/>
      <c r="G59" s="202"/>
      <c r="H59" s="202"/>
      <c r="I59" s="201"/>
      <c r="J59" s="205">
        <v>9</v>
      </c>
      <c r="K59" s="202"/>
      <c r="L59" s="202"/>
      <c r="M59" s="202"/>
      <c r="N59" s="202"/>
      <c r="O59" s="201"/>
      <c r="P59" s="205">
        <v>9</v>
      </c>
      <c r="Q59" s="201"/>
      <c r="R59" s="201"/>
      <c r="S59" s="201"/>
      <c r="T59" s="201"/>
      <c r="U59" s="201"/>
      <c r="V59" s="205">
        <v>9</v>
      </c>
      <c r="W59" s="178"/>
      <c r="X59" s="178"/>
      <c r="Y59" s="178"/>
      <c r="Z59" s="178"/>
      <c r="AA59" s="178"/>
      <c r="AB59" s="178"/>
      <c r="AC59" s="178"/>
      <c r="AD59" s="178"/>
    </row>
    <row r="60" spans="1:30" x14ac:dyDescent="0.25">
      <c r="A60" s="180"/>
      <c r="B60" s="204"/>
      <c r="C60" s="203"/>
      <c r="D60" s="202"/>
      <c r="E60" s="202"/>
      <c r="F60" s="202"/>
      <c r="G60" s="202"/>
      <c r="H60" s="202"/>
      <c r="I60" s="201"/>
      <c r="J60" s="202"/>
      <c r="K60" s="202"/>
      <c r="L60" s="202"/>
      <c r="M60" s="202"/>
      <c r="N60" s="202"/>
      <c r="O60" s="201"/>
      <c r="P60" s="201"/>
      <c r="Q60" s="201"/>
      <c r="R60" s="201"/>
      <c r="S60" s="201"/>
      <c r="T60" s="201"/>
      <c r="U60" s="201"/>
      <c r="V60" s="178"/>
      <c r="W60" s="178"/>
      <c r="X60" s="178"/>
      <c r="Y60" s="178"/>
      <c r="Z60" s="178"/>
      <c r="AA60" s="178"/>
      <c r="AB60" s="178"/>
      <c r="AC60" s="178"/>
      <c r="AD60" s="178"/>
    </row>
    <row r="61" spans="1:30" x14ac:dyDescent="0.25">
      <c r="A61" s="180"/>
      <c r="B61" s="200" t="s">
        <v>6</v>
      </c>
      <c r="C61" s="199"/>
      <c r="D61" s="198"/>
      <c r="E61" s="198"/>
      <c r="F61" s="198"/>
      <c r="G61" s="198"/>
      <c r="H61" s="198"/>
      <c r="I61" s="198"/>
      <c r="J61" s="198"/>
      <c r="K61" s="198"/>
      <c r="L61" s="198"/>
      <c r="M61" s="198"/>
      <c r="N61" s="198"/>
      <c r="O61" s="198"/>
      <c r="P61" s="198"/>
      <c r="Q61" s="198"/>
      <c r="R61" s="198"/>
      <c r="S61" s="198"/>
      <c r="T61" s="198"/>
      <c r="U61" s="198"/>
      <c r="V61" s="197"/>
      <c r="W61" s="197"/>
      <c r="X61" s="197"/>
      <c r="Y61" s="197"/>
      <c r="Z61" s="197"/>
      <c r="AA61" s="197"/>
      <c r="AB61" s="196"/>
      <c r="AC61" s="178"/>
      <c r="AD61" s="178"/>
    </row>
    <row r="62" spans="1:30" x14ac:dyDescent="0.25">
      <c r="A62" s="180"/>
      <c r="B62" s="195"/>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4"/>
      <c r="C64" s="184"/>
      <c r="D64" s="184"/>
      <c r="E64" s="184"/>
      <c r="F64" s="184"/>
      <c r="G64" s="184"/>
      <c r="H64" s="184"/>
      <c r="I64" s="184"/>
      <c r="J64" s="184"/>
      <c r="K64" s="184"/>
      <c r="L64" s="184"/>
      <c r="M64" s="184"/>
      <c r="N64" s="184"/>
      <c r="O64" s="184"/>
      <c r="P64" s="184"/>
      <c r="Q64" s="184"/>
      <c r="R64" s="184"/>
      <c r="S64" s="184"/>
      <c r="T64" s="184"/>
      <c r="U64" s="184"/>
      <c r="V64" s="191"/>
      <c r="W64" s="191"/>
      <c r="X64" s="191"/>
      <c r="Y64" s="191"/>
      <c r="Z64" s="191"/>
      <c r="AA64" s="191"/>
      <c r="AB64" s="190"/>
      <c r="AC64" s="178"/>
      <c r="AD64" s="178"/>
    </row>
    <row r="65" spans="1:30" x14ac:dyDescent="0.25">
      <c r="A65" s="180"/>
      <c r="B65" s="194"/>
      <c r="C65" s="184"/>
      <c r="D65" s="184"/>
      <c r="E65" s="184"/>
      <c r="F65" s="184"/>
      <c r="G65" s="184"/>
      <c r="H65" s="184"/>
      <c r="I65" s="184"/>
      <c r="J65" s="184"/>
      <c r="K65" s="184"/>
      <c r="L65" s="184"/>
      <c r="M65" s="184"/>
      <c r="N65" s="184"/>
      <c r="O65" s="184"/>
      <c r="P65" s="184"/>
      <c r="Q65" s="184"/>
      <c r="R65" s="184"/>
      <c r="S65" s="184"/>
      <c r="T65" s="184"/>
      <c r="U65" s="184"/>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3"/>
      <c r="C82" s="192"/>
      <c r="D82" s="192"/>
      <c r="E82" s="192"/>
      <c r="F82" s="192"/>
      <c r="G82" s="192"/>
      <c r="H82" s="192"/>
      <c r="I82" s="192"/>
      <c r="J82" s="192"/>
      <c r="K82" s="192"/>
      <c r="L82" s="192"/>
      <c r="M82" s="192"/>
      <c r="N82" s="192"/>
      <c r="O82" s="192"/>
      <c r="P82" s="192"/>
      <c r="Q82" s="192"/>
      <c r="R82" s="192"/>
      <c r="S82" s="192"/>
      <c r="T82" s="192"/>
      <c r="U82" s="192"/>
      <c r="V82" s="191"/>
      <c r="W82" s="191"/>
      <c r="X82" s="191"/>
      <c r="Y82" s="191"/>
      <c r="Z82" s="191"/>
      <c r="AA82" s="191"/>
      <c r="AB82" s="190"/>
      <c r="AC82" s="178"/>
      <c r="AD82" s="178"/>
    </row>
    <row r="83" spans="1:30" x14ac:dyDescent="0.25">
      <c r="A83" s="180"/>
      <c r="B83" s="193"/>
      <c r="C83" s="192"/>
      <c r="D83" s="192"/>
      <c r="E83" s="192"/>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194"/>
      <c r="C84" s="184"/>
      <c r="D84" s="184"/>
      <c r="E84" s="184"/>
      <c r="F84" s="184"/>
      <c r="G84" s="184"/>
      <c r="H84" s="184"/>
      <c r="I84" s="184"/>
      <c r="J84" s="184"/>
      <c r="K84" s="184"/>
      <c r="L84" s="184"/>
      <c r="M84" s="184"/>
      <c r="N84" s="184"/>
      <c r="O84" s="184"/>
      <c r="P84" s="184"/>
      <c r="Q84" s="184"/>
      <c r="R84" s="184"/>
      <c r="S84" s="184"/>
      <c r="T84" s="184"/>
      <c r="U84" s="184"/>
      <c r="V84" s="191"/>
      <c r="W84" s="191"/>
      <c r="X84" s="191"/>
      <c r="Y84" s="191"/>
      <c r="Z84" s="191"/>
      <c r="AA84" s="191"/>
      <c r="AB84" s="190"/>
      <c r="AC84" s="178"/>
      <c r="AD84" s="178"/>
    </row>
    <row r="85" spans="1:30" x14ac:dyDescent="0.25">
      <c r="A85" s="180"/>
      <c r="B85" s="415"/>
      <c r="C85" s="418"/>
      <c r="D85" s="418"/>
      <c r="E85" s="418"/>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7"/>
      <c r="C86" s="416"/>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5"/>
      <c r="C87" s="414"/>
      <c r="D87" s="413"/>
      <c r="E87" s="413"/>
      <c r="F87" s="192"/>
      <c r="G87" s="192"/>
      <c r="H87" s="192"/>
      <c r="I87" s="192"/>
      <c r="J87" s="192"/>
      <c r="K87" s="192"/>
      <c r="L87" s="192"/>
      <c r="M87" s="192"/>
      <c r="N87" s="192"/>
      <c r="O87" s="192"/>
      <c r="P87" s="192"/>
      <c r="Q87" s="192"/>
      <c r="R87" s="192"/>
      <c r="S87" s="192"/>
      <c r="T87" s="192"/>
      <c r="U87" s="192"/>
      <c r="V87" s="191"/>
      <c r="W87" s="191"/>
      <c r="X87" s="191"/>
      <c r="Y87" s="191"/>
      <c r="Z87" s="191"/>
      <c r="AA87" s="191"/>
      <c r="AB87" s="190"/>
      <c r="AC87" s="178"/>
      <c r="AD87" s="178"/>
    </row>
    <row r="88" spans="1:30" x14ac:dyDescent="0.25">
      <c r="A88" s="180"/>
      <c r="B88" s="415"/>
      <c r="C88" s="414"/>
      <c r="D88" s="413"/>
      <c r="E88" s="413"/>
      <c r="F88" s="192"/>
      <c r="G88" s="192"/>
      <c r="H88" s="192"/>
      <c r="I88" s="192"/>
      <c r="J88" s="192"/>
      <c r="K88" s="192"/>
      <c r="L88" s="192"/>
      <c r="M88" s="192"/>
      <c r="N88" s="192"/>
      <c r="O88" s="192"/>
      <c r="P88" s="192"/>
      <c r="Q88" s="192"/>
      <c r="R88" s="192"/>
      <c r="S88" s="192"/>
      <c r="T88" s="192"/>
      <c r="U88" s="192"/>
      <c r="V88" s="191"/>
      <c r="W88" s="191"/>
      <c r="X88" s="191"/>
      <c r="Y88" s="191"/>
      <c r="Z88" s="191"/>
      <c r="AA88" s="191"/>
      <c r="AB88" s="190"/>
      <c r="AC88" s="178"/>
      <c r="AD88" s="178"/>
    </row>
    <row r="89" spans="1:30" x14ac:dyDescent="0.25">
      <c r="A89" s="180"/>
      <c r="B89" s="412"/>
      <c r="C89" s="411"/>
      <c r="D89" s="410"/>
      <c r="E89" s="410"/>
      <c r="F89" s="409"/>
      <c r="G89" s="409"/>
      <c r="H89" s="409"/>
      <c r="I89" s="409"/>
      <c r="J89" s="409"/>
      <c r="K89" s="409"/>
      <c r="L89" s="409"/>
      <c r="M89" s="409"/>
      <c r="N89" s="409"/>
      <c r="O89" s="409"/>
      <c r="P89" s="409"/>
      <c r="Q89" s="409"/>
      <c r="R89" s="409"/>
      <c r="S89" s="409"/>
      <c r="T89" s="409"/>
      <c r="U89" s="409"/>
      <c r="V89" s="408"/>
      <c r="W89" s="408"/>
      <c r="X89" s="408"/>
      <c r="Y89" s="408"/>
      <c r="Z89" s="408"/>
      <c r="AA89" s="408"/>
      <c r="AB89" s="407"/>
      <c r="AC89" s="178"/>
      <c r="AD89" s="178"/>
    </row>
    <row r="90" spans="1:30" x14ac:dyDescent="0.25">
      <c r="A90" s="189"/>
      <c r="B90" s="187"/>
      <c r="C90" s="188"/>
      <c r="D90" s="187"/>
      <c r="E90" s="187"/>
      <c r="F90" s="186"/>
      <c r="G90" s="186"/>
      <c r="H90" s="186"/>
      <c r="I90" s="186"/>
      <c r="J90" s="186"/>
      <c r="K90" s="186"/>
      <c r="L90" s="186"/>
      <c r="M90" s="186"/>
      <c r="N90" s="186"/>
      <c r="O90" s="186"/>
      <c r="P90" s="186"/>
      <c r="Q90" s="186"/>
      <c r="R90" s="186"/>
      <c r="S90" s="186"/>
      <c r="T90" s="186"/>
      <c r="U90" s="186"/>
      <c r="V90" s="178"/>
      <c r="W90" s="178"/>
      <c r="X90" s="178"/>
      <c r="Y90" s="178"/>
      <c r="Z90" s="178"/>
      <c r="AA90" s="178"/>
      <c r="AB90" s="178"/>
      <c r="AC90" s="178"/>
      <c r="AD90" s="178"/>
    </row>
    <row r="91" spans="1:30" x14ac:dyDescent="0.25">
      <c r="A91" s="189"/>
      <c r="B91" s="187"/>
      <c r="C91" s="188"/>
      <c r="D91" s="187"/>
      <c r="E91" s="187"/>
      <c r="F91" s="186"/>
      <c r="G91" s="186"/>
      <c r="H91" s="186"/>
      <c r="I91" s="186"/>
      <c r="J91" s="186"/>
      <c r="K91" s="186"/>
      <c r="L91" s="186"/>
      <c r="M91" s="186"/>
      <c r="N91" s="186"/>
      <c r="O91" s="186"/>
      <c r="P91" s="186"/>
      <c r="Q91" s="186"/>
      <c r="R91" s="186"/>
      <c r="S91" s="186"/>
      <c r="T91" s="186"/>
      <c r="U91" s="186"/>
      <c r="V91" s="178"/>
      <c r="W91" s="178"/>
      <c r="X91" s="178"/>
      <c r="Y91" s="178"/>
      <c r="Z91" s="178"/>
      <c r="AA91" s="178"/>
      <c r="AB91" s="178"/>
      <c r="AC91" s="178"/>
      <c r="AD91" s="178"/>
    </row>
    <row r="92" spans="1:30"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t="s">
        <v>5</v>
      </c>
      <c r="C93" s="185" t="s">
        <v>118</v>
      </c>
      <c r="D93" s="179" t="s">
        <v>4</v>
      </c>
      <c r="E93" s="184" t="s">
        <v>117</v>
      </c>
      <c r="F93" s="184"/>
      <c r="G93" s="184"/>
      <c r="H93" s="179"/>
      <c r="I93" s="179" t="s">
        <v>2</v>
      </c>
      <c r="J93" s="183" t="s">
        <v>116</v>
      </c>
      <c r="K93" s="183"/>
      <c r="L93" s="183"/>
      <c r="M93" s="183"/>
      <c r="N93" s="179"/>
      <c r="O93" s="179"/>
      <c r="P93" s="179"/>
      <c r="Q93" s="179"/>
      <c r="R93" s="179"/>
      <c r="S93" s="179"/>
      <c r="T93" s="179"/>
      <c r="U93" s="179"/>
      <c r="V93" s="178"/>
      <c r="W93" s="178"/>
      <c r="X93" s="178"/>
      <c r="Y93" s="178"/>
      <c r="Z93" s="178"/>
      <c r="AA93" s="178"/>
      <c r="AB93" s="178"/>
      <c r="AC93" s="178"/>
      <c r="AD93" s="178"/>
    </row>
    <row r="94" spans="1:30" ht="7.5" customHeight="1" x14ac:dyDescent="0.25">
      <c r="A94" s="180"/>
      <c r="B94" s="179"/>
      <c r="C94" s="179"/>
      <c r="D94" s="179"/>
      <c r="E94" s="179"/>
      <c r="F94" s="179"/>
      <c r="G94" s="179"/>
      <c r="H94" s="179"/>
      <c r="I94" s="179"/>
      <c r="J94" s="179"/>
      <c r="K94" s="179"/>
      <c r="L94" s="179"/>
      <c r="M94" s="179"/>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t="s">
        <v>0</v>
      </c>
      <c r="E95" s="182"/>
      <c r="F95" s="182"/>
      <c r="G95" s="182"/>
      <c r="H95" s="179"/>
      <c r="I95" s="179" t="s">
        <v>0</v>
      </c>
      <c r="J95" s="181"/>
      <c r="K95" s="181"/>
      <c r="L95" s="181"/>
      <c r="M95" s="181"/>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82"/>
      <c r="F96" s="182"/>
      <c r="G96" s="182"/>
      <c r="H96" s="179"/>
      <c r="I96" s="179"/>
      <c r="J96" s="181"/>
      <c r="K96" s="181"/>
      <c r="L96" s="181"/>
      <c r="M96" s="181"/>
      <c r="N96" s="179"/>
      <c r="O96" s="179"/>
      <c r="P96" s="179"/>
      <c r="Q96" s="179"/>
      <c r="R96" s="179"/>
      <c r="S96" s="179"/>
      <c r="T96" s="179"/>
      <c r="U96" s="179"/>
      <c r="V96" s="178"/>
      <c r="W96" s="178"/>
      <c r="X96" s="178"/>
      <c r="Y96" s="178"/>
      <c r="Z96" s="178"/>
      <c r="AA96" s="178"/>
      <c r="AB96" s="178"/>
      <c r="AC96" s="178"/>
      <c r="AD96" s="178"/>
    </row>
    <row r="97" spans="1:30" x14ac:dyDescent="0.25">
      <c r="A97" s="180"/>
      <c r="B97" s="179"/>
      <c r="C97" s="179"/>
      <c r="D97" s="179"/>
      <c r="E97" s="179"/>
      <c r="F97" s="179"/>
      <c r="G97" s="179"/>
      <c r="H97" s="179"/>
      <c r="I97" s="179"/>
      <c r="J97" s="179"/>
      <c r="K97" s="179"/>
      <c r="L97" s="179"/>
      <c r="M97" s="179"/>
      <c r="N97" s="179"/>
      <c r="O97" s="179"/>
      <c r="P97" s="179"/>
      <c r="Q97" s="179"/>
      <c r="R97" s="179"/>
      <c r="S97" s="179"/>
      <c r="T97" s="179"/>
      <c r="U97" s="179"/>
      <c r="V97" s="178"/>
      <c r="W97" s="178"/>
      <c r="X97" s="178"/>
      <c r="Y97" s="178"/>
      <c r="Z97" s="178"/>
      <c r="AA97" s="178"/>
      <c r="AB97" s="178"/>
      <c r="AC97" s="178"/>
      <c r="AD97" s="178"/>
    </row>
    <row r="98" spans="1:30" x14ac:dyDescent="0.25">
      <c r="A98" s="180"/>
      <c r="B98" s="179"/>
      <c r="C98" s="179"/>
      <c r="D98" s="179"/>
      <c r="E98" s="179"/>
      <c r="F98" s="179"/>
      <c r="G98" s="179"/>
      <c r="H98" s="179"/>
      <c r="I98" s="179"/>
      <c r="J98" s="179"/>
      <c r="K98" s="179"/>
      <c r="L98" s="179"/>
      <c r="M98" s="179"/>
      <c r="N98" s="179"/>
      <c r="O98" s="179"/>
      <c r="P98" s="179"/>
      <c r="Q98" s="179"/>
      <c r="R98" s="179"/>
      <c r="S98" s="179"/>
      <c r="T98" s="179"/>
      <c r="U98" s="179"/>
      <c r="V98" s="178"/>
      <c r="W98" s="178"/>
      <c r="X98" s="178"/>
      <c r="Y98" s="178"/>
      <c r="Z98" s="178"/>
      <c r="AA98" s="178"/>
      <c r="AB98" s="178"/>
      <c r="AC98" s="178"/>
      <c r="AD98" s="178"/>
    </row>
    <row r="99" spans="1:30" hidden="1" x14ac:dyDescent="0.25">
      <c r="AC99" s="175"/>
      <c r="AD99" s="175"/>
    </row>
    <row r="115" ht="15" hidden="1" customHeight="1" x14ac:dyDescent="0.25"/>
    <row r="129" ht="15" hidden="1" customHeight="1" x14ac:dyDescent="0.25"/>
    <row r="130" ht="15" hidden="1" customHeight="1" x14ac:dyDescent="0.25"/>
  </sheetData>
  <mergeCells count="65">
    <mergeCell ref="V10:AA10"/>
    <mergeCell ref="V25:AA25"/>
    <mergeCell ref="Y13:Y14"/>
    <mergeCell ref="Z13:Z14"/>
    <mergeCell ref="AB25:AB27"/>
    <mergeCell ref="V26:X26"/>
    <mergeCell ref="AA26:AA27"/>
    <mergeCell ref="AB10:AB14"/>
    <mergeCell ref="V11:Y11"/>
    <mergeCell ref="V12:AA12"/>
    <mergeCell ref="V13:X13"/>
    <mergeCell ref="AA13:AA14"/>
    <mergeCell ref="Y26:Y27"/>
    <mergeCell ref="Z26:Z27"/>
    <mergeCell ref="S13:S14"/>
    <mergeCell ref="T13:T14"/>
    <mergeCell ref="U13:U14"/>
    <mergeCell ref="P25:U25"/>
    <mergeCell ref="P26:R26"/>
    <mergeCell ref="S26:S27"/>
    <mergeCell ref="T26:T27"/>
    <mergeCell ref="U26:U27"/>
    <mergeCell ref="D12:I12"/>
    <mergeCell ref="D10:I10"/>
    <mergeCell ref="D11:G11"/>
    <mergeCell ref="C10:C13"/>
    <mergeCell ref="D13:F13"/>
    <mergeCell ref="H26:H27"/>
    <mergeCell ref="I26:I27"/>
    <mergeCell ref="H13:H14"/>
    <mergeCell ref="E93:G93"/>
    <mergeCell ref="J93:M93"/>
    <mergeCell ref="B65:U65"/>
    <mergeCell ref="B84:U84"/>
    <mergeCell ref="D4:U4"/>
    <mergeCell ref="D8:U8"/>
    <mergeCell ref="C45:C46"/>
    <mergeCell ref="C48:C49"/>
    <mergeCell ref="C26:C27"/>
    <mergeCell ref="B64:U64"/>
    <mergeCell ref="D61:U61"/>
    <mergeCell ref="B63:U63"/>
    <mergeCell ref="B26:B27"/>
    <mergeCell ref="O13:O14"/>
    <mergeCell ref="J25:O25"/>
    <mergeCell ref="J26:L26"/>
    <mergeCell ref="M26:M27"/>
    <mergeCell ref="N26:N27"/>
    <mergeCell ref="O26:O27"/>
    <mergeCell ref="I13:I14"/>
    <mergeCell ref="D25:I25"/>
    <mergeCell ref="D26:F26"/>
    <mergeCell ref="G26:G27"/>
    <mergeCell ref="B10:B13"/>
    <mergeCell ref="P10:U10"/>
    <mergeCell ref="P11:S11"/>
    <mergeCell ref="P12:U12"/>
    <mergeCell ref="P13:R13"/>
    <mergeCell ref="G13:G14"/>
    <mergeCell ref="J10:O10"/>
    <mergeCell ref="J11:M11"/>
    <mergeCell ref="J12:O12"/>
    <mergeCell ref="J13:L13"/>
    <mergeCell ref="M13:M14"/>
    <mergeCell ref="N13:N14"/>
  </mergeCells>
  <conditionalFormatting sqref="AB15:AB25">
    <cfRule type="cellIs" dxfId="65" priority="3" operator="equal">
      <formula>0</formula>
    </cfRule>
    <cfRule type="containsErrors" dxfId="64" priority="4">
      <formula>ISERROR(AB15)</formula>
    </cfRule>
  </conditionalFormatting>
  <conditionalFormatting sqref="AB28:AB43">
    <cfRule type="cellIs" dxfId="63" priority="1" operator="equal">
      <formula>0</formula>
    </cfRule>
    <cfRule type="containsErrors" dxfId="62" priority="2">
      <formula>ISERROR(AB28)</formula>
    </cfRule>
  </conditionalFormatting>
  <pageMargins left="0.70866141732283472" right="0.70866141732283472" top="0.78740157480314965" bottom="0.78740157480314965" header="0.31496062992125984" footer="0.31496062992125984"/>
  <pageSetup paperSize="9" scale="2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276"/>
  <sheetViews>
    <sheetView showGridLines="0" zoomScale="80" zoomScaleNormal="80" zoomScaleSheetLayoutView="80" workbookViewId="0">
      <pane xSplit="3" topLeftCell="D1" activePane="topRight" state="frozen"/>
      <selection pane="topRight" activeCell="C96" sqref="C96"/>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2.28515625" style="176"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145</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46789944</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144</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53099.8</v>
      </c>
      <c r="G15" s="366">
        <f>SUM(D15:F15)</f>
        <v>53099.8</v>
      </c>
      <c r="H15" s="352">
        <v>0</v>
      </c>
      <c r="I15" s="266">
        <f>G15+H15</f>
        <v>53099.8</v>
      </c>
      <c r="J15" s="369"/>
      <c r="K15" s="368"/>
      <c r="L15" s="367">
        <v>56966.32</v>
      </c>
      <c r="M15" s="366">
        <f>SUM(J15:L15)</f>
        <v>56966.32</v>
      </c>
      <c r="N15" s="352">
        <v>0</v>
      </c>
      <c r="O15" s="266">
        <f>M15+N15</f>
        <v>56966.32</v>
      </c>
      <c r="P15" s="369"/>
      <c r="Q15" s="368"/>
      <c r="R15" s="367">
        <v>29404.65</v>
      </c>
      <c r="S15" s="366">
        <f>SUM(P15:R15)</f>
        <v>29404.65</v>
      </c>
      <c r="T15" s="352">
        <v>18.8</v>
      </c>
      <c r="U15" s="266">
        <f>S15+T15</f>
        <v>29423.45</v>
      </c>
      <c r="V15" s="369"/>
      <c r="W15" s="368"/>
      <c r="X15" s="367">
        <v>55730</v>
      </c>
      <c r="Y15" s="366">
        <f>SUM(V15:X15)</f>
        <v>55730</v>
      </c>
      <c r="Z15" s="352">
        <v>0</v>
      </c>
      <c r="AA15" s="266">
        <f>Y15+Z15</f>
        <v>55730</v>
      </c>
      <c r="AB15" s="232">
        <f>(AA15/O15)</f>
        <v>0.97829735183877076</v>
      </c>
      <c r="AC15" s="178"/>
      <c r="AD15" s="178"/>
    </row>
    <row r="16" spans="1:30" x14ac:dyDescent="0.25">
      <c r="A16" s="180"/>
      <c r="B16" s="274" t="s">
        <v>86</v>
      </c>
      <c r="C16" s="361" t="s">
        <v>85</v>
      </c>
      <c r="D16" s="360">
        <v>25850.9</v>
      </c>
      <c r="E16" s="343"/>
      <c r="F16" s="343"/>
      <c r="G16" s="341">
        <f>SUM(D16:F16)</f>
        <v>25850.9</v>
      </c>
      <c r="H16" s="358"/>
      <c r="I16" s="266">
        <f>G16+H16</f>
        <v>25850.9</v>
      </c>
      <c r="J16" s="360">
        <v>26882</v>
      </c>
      <c r="K16" s="343"/>
      <c r="L16" s="343"/>
      <c r="M16" s="341">
        <f>SUM(J16:L16)</f>
        <v>26882</v>
      </c>
      <c r="N16" s="358"/>
      <c r="O16" s="266">
        <f>M16+N16</f>
        <v>26882</v>
      </c>
      <c r="P16" s="360">
        <v>19050</v>
      </c>
      <c r="Q16" s="343"/>
      <c r="R16" s="343"/>
      <c r="S16" s="341">
        <f>SUM(P16:R16)</f>
        <v>19050</v>
      </c>
      <c r="T16" s="358"/>
      <c r="U16" s="266">
        <f>S16+T16</f>
        <v>19050</v>
      </c>
      <c r="V16" s="360">
        <v>24873</v>
      </c>
      <c r="W16" s="343"/>
      <c r="X16" s="343"/>
      <c r="Y16" s="341">
        <f>SUM(V16:X16)</f>
        <v>24873</v>
      </c>
      <c r="Z16" s="358"/>
      <c r="AA16" s="266">
        <f>Y16+Z16</f>
        <v>24873</v>
      </c>
      <c r="AB16" s="232">
        <f>(AA16/O16)</f>
        <v>0.92526597723383674</v>
      </c>
      <c r="AC16" s="178"/>
      <c r="AD16" s="178"/>
    </row>
    <row r="17" spans="1:30" x14ac:dyDescent="0.25">
      <c r="A17" s="180"/>
      <c r="B17" s="274" t="s">
        <v>84</v>
      </c>
      <c r="C17" s="357" t="s">
        <v>83</v>
      </c>
      <c r="D17" s="356"/>
      <c r="E17" s="350"/>
      <c r="F17" s="350"/>
      <c r="G17" s="341">
        <f>SUM(D17:F17)</f>
        <v>0</v>
      </c>
      <c r="H17" s="355"/>
      <c r="I17" s="266">
        <f>G17+H17</f>
        <v>0</v>
      </c>
      <c r="J17" s="356"/>
      <c r="K17" s="350"/>
      <c r="L17" s="350"/>
      <c r="M17" s="341">
        <f>SUM(J17:L17)</f>
        <v>0</v>
      </c>
      <c r="N17" s="355"/>
      <c r="O17" s="266">
        <f>M17+N17</f>
        <v>0</v>
      </c>
      <c r="P17" s="356"/>
      <c r="Q17" s="350"/>
      <c r="R17" s="350"/>
      <c r="S17" s="341">
        <f>SUM(P17:R17)</f>
        <v>0</v>
      </c>
      <c r="T17" s="355"/>
      <c r="U17" s="266">
        <f>S17+T17</f>
        <v>0</v>
      </c>
      <c r="V17" s="356"/>
      <c r="W17" s="350"/>
      <c r="X17" s="350"/>
      <c r="Y17" s="341">
        <f>SUM(V17:X17)</f>
        <v>0</v>
      </c>
      <c r="Z17" s="355"/>
      <c r="AA17" s="266">
        <f>Y17+Z17</f>
        <v>0</v>
      </c>
      <c r="AB17" s="232" t="e">
        <f>(AA17/O17)</f>
        <v>#DIV/0!</v>
      </c>
      <c r="AC17" s="178"/>
      <c r="AD17" s="178"/>
    </row>
    <row r="18" spans="1:30" x14ac:dyDescent="0.25">
      <c r="A18" s="180"/>
      <c r="B18" s="274" t="s">
        <v>82</v>
      </c>
      <c r="C18" s="354" t="s">
        <v>81</v>
      </c>
      <c r="D18" s="344"/>
      <c r="E18" s="353">
        <v>51290.2</v>
      </c>
      <c r="F18" s="350"/>
      <c r="G18" s="341">
        <f>SUM(D18:F18)</f>
        <v>51290.2</v>
      </c>
      <c r="H18" s="352"/>
      <c r="I18" s="266">
        <f>G18+H18</f>
        <v>51290.2</v>
      </c>
      <c r="J18" s="344"/>
      <c r="K18" s="353">
        <v>54518.68</v>
      </c>
      <c r="L18" s="350"/>
      <c r="M18" s="341">
        <f>SUM(J18:L18)</f>
        <v>54518.68</v>
      </c>
      <c r="N18" s="352"/>
      <c r="O18" s="266">
        <f>M18+N18</f>
        <v>54518.68</v>
      </c>
      <c r="P18" s="344"/>
      <c r="Q18" s="353">
        <v>37025.9</v>
      </c>
      <c r="R18" s="350"/>
      <c r="S18" s="341">
        <f>SUM(P18:R18)</f>
        <v>37025.9</v>
      </c>
      <c r="T18" s="352"/>
      <c r="U18" s="266">
        <f>S18+T18</f>
        <v>37025.9</v>
      </c>
      <c r="V18" s="344"/>
      <c r="W18" s="353">
        <v>56252</v>
      </c>
      <c r="X18" s="350"/>
      <c r="Y18" s="341">
        <f>SUM(V18:X18)</f>
        <v>56252</v>
      </c>
      <c r="Z18" s="352"/>
      <c r="AA18" s="266">
        <f>Y18+Z18</f>
        <v>56252</v>
      </c>
      <c r="AB18" s="232">
        <f>(AA18/O18)</f>
        <v>1.0317931395257551</v>
      </c>
      <c r="AC18" s="178"/>
      <c r="AD18" s="178"/>
    </row>
    <row r="19" spans="1:30" x14ac:dyDescent="0.25">
      <c r="A19" s="180"/>
      <c r="B19" s="274" t="s">
        <v>80</v>
      </c>
      <c r="C19" s="280" t="s">
        <v>79</v>
      </c>
      <c r="D19" s="351"/>
      <c r="E19" s="350"/>
      <c r="F19" s="347"/>
      <c r="G19" s="341">
        <f>SUM(D19:F19)</f>
        <v>0</v>
      </c>
      <c r="H19" s="345"/>
      <c r="I19" s="266">
        <f>G19+H19</f>
        <v>0</v>
      </c>
      <c r="J19" s="351"/>
      <c r="K19" s="350"/>
      <c r="L19" s="347"/>
      <c r="M19" s="341">
        <f>SUM(J19:L19)</f>
        <v>0</v>
      </c>
      <c r="N19" s="345"/>
      <c r="O19" s="266">
        <f>M19+N19</f>
        <v>0</v>
      </c>
      <c r="P19" s="351"/>
      <c r="Q19" s="350"/>
      <c r="R19" s="347"/>
      <c r="S19" s="341">
        <f>SUM(P19:R19)</f>
        <v>0</v>
      </c>
      <c r="T19" s="345"/>
      <c r="U19" s="266">
        <f>S19+T19</f>
        <v>0</v>
      </c>
      <c r="V19" s="351"/>
      <c r="W19" s="350"/>
      <c r="X19" s="347"/>
      <c r="Y19" s="341">
        <f>SUM(V19:X19)</f>
        <v>0</v>
      </c>
      <c r="Z19" s="345"/>
      <c r="AA19" s="266">
        <f>Y19+Z19</f>
        <v>0</v>
      </c>
      <c r="AB19" s="232" t="e">
        <f>(AA19/O19)</f>
        <v>#DIV/0!</v>
      </c>
      <c r="AC19" s="178"/>
      <c r="AD19" s="178"/>
    </row>
    <row r="20" spans="1:30" x14ac:dyDescent="0.25">
      <c r="A20" s="180"/>
      <c r="B20" s="274" t="s">
        <v>78</v>
      </c>
      <c r="C20" s="346" t="s">
        <v>77</v>
      </c>
      <c r="D20" s="344"/>
      <c r="E20" s="343"/>
      <c r="F20" s="342">
        <v>64.8</v>
      </c>
      <c r="G20" s="341">
        <f>SUM(D20:F20)</f>
        <v>64.8</v>
      </c>
      <c r="H20" s="341"/>
      <c r="I20" s="266">
        <f>G20+H20</f>
        <v>64.8</v>
      </c>
      <c r="J20" s="344"/>
      <c r="K20" s="343"/>
      <c r="L20" s="342"/>
      <c r="M20" s="341">
        <f>SUM(J20:L20)</f>
        <v>0</v>
      </c>
      <c r="N20" s="345"/>
      <c r="O20" s="266">
        <f>M20+N20</f>
        <v>0</v>
      </c>
      <c r="P20" s="344"/>
      <c r="Q20" s="343"/>
      <c r="R20" s="342">
        <v>3.62</v>
      </c>
      <c r="S20" s="341">
        <f>SUM(P20:R20)</f>
        <v>3.62</v>
      </c>
      <c r="T20" s="345"/>
      <c r="U20" s="266">
        <f>S20+T20</f>
        <v>3.62</v>
      </c>
      <c r="V20" s="344"/>
      <c r="W20" s="343"/>
      <c r="X20" s="342"/>
      <c r="Y20" s="341">
        <f>SUM(V20:X20)</f>
        <v>0</v>
      </c>
      <c r="Z20" s="345"/>
      <c r="AA20" s="266">
        <f>Y20+Z20</f>
        <v>0</v>
      </c>
      <c r="AB20" s="232" t="e">
        <f>(AA20/O20)</f>
        <v>#DIV/0!</v>
      </c>
      <c r="AC20" s="178"/>
      <c r="AD20" s="178"/>
    </row>
    <row r="21" spans="1:30" x14ac:dyDescent="0.25">
      <c r="A21" s="180"/>
      <c r="B21" s="274" t="s">
        <v>76</v>
      </c>
      <c r="C21" s="273" t="s">
        <v>75</v>
      </c>
      <c r="D21" s="344"/>
      <c r="E21" s="343"/>
      <c r="F21" s="342">
        <v>1799.6</v>
      </c>
      <c r="G21" s="341">
        <f>SUM(D21:F21)</f>
        <v>1799.6</v>
      </c>
      <c r="H21" s="336">
        <v>13.3</v>
      </c>
      <c r="I21" s="266">
        <f>G21+H21</f>
        <v>1812.8999999999999</v>
      </c>
      <c r="J21" s="344"/>
      <c r="K21" s="343"/>
      <c r="L21" s="342">
        <v>872</v>
      </c>
      <c r="M21" s="341">
        <f>SUM(J21:L21)</f>
        <v>872</v>
      </c>
      <c r="N21" s="336"/>
      <c r="O21" s="266">
        <f>M21+N21</f>
        <v>872</v>
      </c>
      <c r="P21" s="344"/>
      <c r="Q21" s="343"/>
      <c r="R21" s="342">
        <v>1166.06</v>
      </c>
      <c r="S21" s="341">
        <f>SUM(P21:R21)</f>
        <v>1166.06</v>
      </c>
      <c r="T21" s="336">
        <v>5.7</v>
      </c>
      <c r="U21" s="266">
        <f>S21+T21</f>
        <v>1171.76</v>
      </c>
      <c r="V21" s="344"/>
      <c r="W21" s="343"/>
      <c r="X21" s="342">
        <v>384</v>
      </c>
      <c r="Y21" s="341">
        <f>SUM(V21:X21)</f>
        <v>384</v>
      </c>
      <c r="Z21" s="336"/>
      <c r="AA21" s="266">
        <f>Y21+Z21</f>
        <v>384</v>
      </c>
      <c r="AB21" s="232">
        <f>(AA21/O21)</f>
        <v>0.44036697247706424</v>
      </c>
      <c r="AC21" s="178"/>
      <c r="AD21" s="178"/>
    </row>
    <row r="22" spans="1:30" x14ac:dyDescent="0.25">
      <c r="A22" s="180"/>
      <c r="B22" s="274" t="s">
        <v>74</v>
      </c>
      <c r="C22" s="273" t="s">
        <v>73</v>
      </c>
      <c r="D22" s="344"/>
      <c r="E22" s="343"/>
      <c r="F22" s="342"/>
      <c r="G22" s="341">
        <f>SUM(D22:F22)</f>
        <v>0</v>
      </c>
      <c r="H22" s="336">
        <v>10</v>
      </c>
      <c r="I22" s="266">
        <f>G22+H22</f>
        <v>10</v>
      </c>
      <c r="J22" s="344"/>
      <c r="K22" s="343"/>
      <c r="L22" s="342"/>
      <c r="M22" s="341">
        <f>SUM(J22:L22)</f>
        <v>0</v>
      </c>
      <c r="N22" s="336"/>
      <c r="O22" s="266">
        <f>M22+N22</f>
        <v>0</v>
      </c>
      <c r="P22" s="344"/>
      <c r="Q22" s="343"/>
      <c r="R22" s="342"/>
      <c r="S22" s="341">
        <f>SUM(P22:R22)</f>
        <v>0</v>
      </c>
      <c r="T22" s="336">
        <v>5</v>
      </c>
      <c r="U22" s="266">
        <f>S22+T22</f>
        <v>5</v>
      </c>
      <c r="V22" s="344"/>
      <c r="W22" s="343"/>
      <c r="X22" s="342"/>
      <c r="Y22" s="341">
        <f>SUM(V22:X22)</f>
        <v>0</v>
      </c>
      <c r="Z22" s="336"/>
      <c r="AA22" s="266">
        <f>Y22+Z22</f>
        <v>0</v>
      </c>
      <c r="AB22" s="232" t="e">
        <f>(AA22/O22)</f>
        <v>#DIV/0!</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25850.9</v>
      </c>
      <c r="E24" s="322">
        <f>SUM(E15:E21)</f>
        <v>51290.2</v>
      </c>
      <c r="F24" s="322">
        <f>SUM(F15:F21)</f>
        <v>54964.200000000004</v>
      </c>
      <c r="G24" s="321">
        <f>SUM(D24:F24)</f>
        <v>132105.30000000002</v>
      </c>
      <c r="H24" s="320">
        <f>SUM(H15:H21)</f>
        <v>13.3</v>
      </c>
      <c r="I24" s="320">
        <f>SUM(I15:I21)</f>
        <v>132118.6</v>
      </c>
      <c r="J24" s="323">
        <f>SUM(J15:J21)</f>
        <v>26882</v>
      </c>
      <c r="K24" s="322">
        <f>SUM(K15:K21)</f>
        <v>54518.68</v>
      </c>
      <c r="L24" s="322">
        <f>SUM(L15:L21)</f>
        <v>57838.32</v>
      </c>
      <c r="M24" s="321">
        <f>SUM(J24:L24)</f>
        <v>139239</v>
      </c>
      <c r="N24" s="320">
        <f>SUM(N15:N21)</f>
        <v>0</v>
      </c>
      <c r="O24" s="320">
        <f>SUM(O15:O21)</f>
        <v>139239</v>
      </c>
      <c r="P24" s="323">
        <f>SUM(P15:P21)</f>
        <v>19050</v>
      </c>
      <c r="Q24" s="322">
        <f>SUM(Q15:Q21)</f>
        <v>37025.9</v>
      </c>
      <c r="R24" s="322">
        <f>SUM(R15:R21)</f>
        <v>30574.33</v>
      </c>
      <c r="S24" s="321">
        <f>SUM(P24:R24)</f>
        <v>86650.23000000001</v>
      </c>
      <c r="T24" s="320">
        <f>SUM(T15:T21)</f>
        <v>24.5</v>
      </c>
      <c r="U24" s="320">
        <f>SUM(U15:U21)</f>
        <v>86674.73</v>
      </c>
      <c r="V24" s="323">
        <f>SUM(V15:V21)</f>
        <v>24873</v>
      </c>
      <c r="W24" s="322">
        <f>SUM(W15:W21)</f>
        <v>56252</v>
      </c>
      <c r="X24" s="322">
        <f>SUM(X15:X21)</f>
        <v>56114</v>
      </c>
      <c r="Y24" s="321">
        <f>SUM(V24:X24)</f>
        <v>137239</v>
      </c>
      <c r="Z24" s="320">
        <f>SUM(Z15:Z21)</f>
        <v>0</v>
      </c>
      <c r="AA24" s="320">
        <f>SUM(AA15:AA21)</f>
        <v>137239</v>
      </c>
      <c r="AB24" s="319">
        <f>(AA24/O24)</f>
        <v>0.98563620824625287</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399</v>
      </c>
      <c r="E28" s="287">
        <v>9</v>
      </c>
      <c r="F28" s="287">
        <v>994.6</v>
      </c>
      <c r="G28" s="286">
        <f>SUM(D28:F28)</f>
        <v>1402.6</v>
      </c>
      <c r="H28" s="286"/>
      <c r="I28" s="285">
        <f>G28+H28</f>
        <v>1402.6</v>
      </c>
      <c r="J28" s="288">
        <v>303</v>
      </c>
      <c r="K28" s="287"/>
      <c r="L28" s="287">
        <v>893</v>
      </c>
      <c r="M28" s="286">
        <f>SUM(J28:L28)</f>
        <v>1196</v>
      </c>
      <c r="N28" s="286"/>
      <c r="O28" s="285">
        <f>M28+N28</f>
        <v>1196</v>
      </c>
      <c r="P28" s="288">
        <v>181</v>
      </c>
      <c r="Q28" s="287"/>
      <c r="R28" s="287">
        <v>147.61000000000001</v>
      </c>
      <c r="S28" s="286">
        <f>SUM(P28:R28)</f>
        <v>328.61</v>
      </c>
      <c r="T28" s="286"/>
      <c r="U28" s="285">
        <f>S28+T28</f>
        <v>328.61</v>
      </c>
      <c r="V28" s="288">
        <f>1244-600</f>
        <v>644</v>
      </c>
      <c r="W28" s="287"/>
      <c r="X28" s="287">
        <v>600</v>
      </c>
      <c r="Y28" s="286">
        <f>SUM(V28:X28)</f>
        <v>1244</v>
      </c>
      <c r="Z28" s="286"/>
      <c r="AA28" s="285">
        <f>Y28+Z28</f>
        <v>1244</v>
      </c>
      <c r="AB28" s="232">
        <f>(AA28/O28)</f>
        <v>1.040133779264214</v>
      </c>
      <c r="AC28" s="178"/>
      <c r="AD28" s="178"/>
    </row>
    <row r="29" spans="1:30" x14ac:dyDescent="0.25">
      <c r="A29" s="180"/>
      <c r="B29" s="274" t="s">
        <v>56</v>
      </c>
      <c r="C29" s="284" t="s">
        <v>55</v>
      </c>
      <c r="D29" s="282">
        <v>4814</v>
      </c>
      <c r="E29" s="282">
        <v>2354.3000000000002</v>
      </c>
      <c r="F29" s="282">
        <v>7902.8</v>
      </c>
      <c r="G29" s="263">
        <f>SUM(D29:F29)</f>
        <v>15071.1</v>
      </c>
      <c r="H29" s="281"/>
      <c r="I29" s="266">
        <f>G29+H29</f>
        <v>15071.1</v>
      </c>
      <c r="J29" s="283">
        <v>3104</v>
      </c>
      <c r="K29" s="282">
        <v>102</v>
      </c>
      <c r="L29" s="282">
        <v>12310</v>
      </c>
      <c r="M29" s="263">
        <f>SUM(J29:L29)</f>
        <v>15516</v>
      </c>
      <c r="N29" s="281"/>
      <c r="O29" s="266">
        <f>M29+N29</f>
        <v>15516</v>
      </c>
      <c r="P29" s="283">
        <v>1175</v>
      </c>
      <c r="Q29" s="282">
        <v>130</v>
      </c>
      <c r="R29" s="282">
        <v>5750.6</v>
      </c>
      <c r="S29" s="263">
        <f>SUM(P29:R29)</f>
        <v>7055.6</v>
      </c>
      <c r="T29" s="281">
        <v>0.7</v>
      </c>
      <c r="U29" s="266">
        <f>S29+T29</f>
        <v>7056.3</v>
      </c>
      <c r="V29" s="283">
        <f>16379-13379</f>
        <v>3000</v>
      </c>
      <c r="W29" s="282"/>
      <c r="X29" s="282">
        <v>13379</v>
      </c>
      <c r="Y29" s="263">
        <f>SUM(V29:X29)</f>
        <v>16379</v>
      </c>
      <c r="Z29" s="281"/>
      <c r="AA29" s="266">
        <f>Y29+Z29</f>
        <v>16379</v>
      </c>
      <c r="AB29" s="232">
        <f>(AA29/O29)</f>
        <v>1.0556200051559681</v>
      </c>
      <c r="AC29" s="178"/>
      <c r="AD29" s="178"/>
    </row>
    <row r="30" spans="1:30" x14ac:dyDescent="0.25">
      <c r="A30" s="180"/>
      <c r="B30" s="274" t="s">
        <v>54</v>
      </c>
      <c r="C30" s="273" t="s">
        <v>53</v>
      </c>
      <c r="D30" s="267">
        <v>1707</v>
      </c>
      <c r="E30" s="267">
        <v>10.4</v>
      </c>
      <c r="F30" s="267">
        <v>6126.9</v>
      </c>
      <c r="G30" s="263">
        <f>SUM(D30:F30)</f>
        <v>7844.2999999999993</v>
      </c>
      <c r="H30" s="263"/>
      <c r="I30" s="266">
        <f>G30+H30</f>
        <v>7844.2999999999993</v>
      </c>
      <c r="J30" s="268">
        <v>1271</v>
      </c>
      <c r="K30" s="267"/>
      <c r="L30" s="267">
        <v>6425</v>
      </c>
      <c r="M30" s="263">
        <f>SUM(J30:L30)</f>
        <v>7696</v>
      </c>
      <c r="N30" s="263"/>
      <c r="O30" s="266">
        <f>M30+N30</f>
        <v>7696</v>
      </c>
      <c r="P30" s="268">
        <v>319</v>
      </c>
      <c r="Q30" s="267">
        <v>232</v>
      </c>
      <c r="R30" s="267">
        <v>3221.78</v>
      </c>
      <c r="S30" s="263">
        <f>SUM(P30:R30)</f>
        <v>3772.78</v>
      </c>
      <c r="T30" s="263"/>
      <c r="U30" s="266">
        <f>S30+T30</f>
        <v>3772.78</v>
      </c>
      <c r="V30" s="268">
        <v>3638</v>
      </c>
      <c r="W30" s="267"/>
      <c r="X30" s="267">
        <v>6000</v>
      </c>
      <c r="Y30" s="263">
        <f>SUM(V30:X30)</f>
        <v>9638</v>
      </c>
      <c r="Z30" s="263"/>
      <c r="AA30" s="266">
        <f>Y30+Z30</f>
        <v>9638</v>
      </c>
      <c r="AB30" s="232">
        <f>(AA30/O30)</f>
        <v>1.2523388773388773</v>
      </c>
      <c r="AC30" s="178"/>
      <c r="AD30" s="178"/>
    </row>
    <row r="31" spans="1:30" x14ac:dyDescent="0.25">
      <c r="A31" s="180"/>
      <c r="B31" s="274" t="s">
        <v>51</v>
      </c>
      <c r="C31" s="273" t="s">
        <v>50</v>
      </c>
      <c r="D31" s="267">
        <v>2135</v>
      </c>
      <c r="E31" s="267">
        <v>196.2</v>
      </c>
      <c r="F31" s="267">
        <v>4391.3999999999996</v>
      </c>
      <c r="G31" s="263">
        <f>SUM(D31:F31)</f>
        <v>6722.5999999999995</v>
      </c>
      <c r="H31" s="263"/>
      <c r="I31" s="266">
        <f>G31+H31</f>
        <v>6722.5999999999995</v>
      </c>
      <c r="J31" s="268">
        <v>1458</v>
      </c>
      <c r="K31" s="267"/>
      <c r="L31" s="267">
        <v>4504</v>
      </c>
      <c r="M31" s="263">
        <f>SUM(J31:L31)</f>
        <v>5962</v>
      </c>
      <c r="N31" s="263"/>
      <c r="O31" s="266">
        <f>M31+N31</f>
        <v>5962</v>
      </c>
      <c r="P31" s="268">
        <v>328</v>
      </c>
      <c r="Q31" s="267">
        <v>290</v>
      </c>
      <c r="R31" s="267">
        <v>2127.59</v>
      </c>
      <c r="S31" s="263">
        <f>SUM(P31:R31)</f>
        <v>2745.59</v>
      </c>
      <c r="T31" s="263"/>
      <c r="U31" s="266">
        <f>S31+T31</f>
        <v>2745.59</v>
      </c>
      <c r="V31" s="268">
        <f>6525-4525</f>
        <v>2000</v>
      </c>
      <c r="W31" s="267"/>
      <c r="X31" s="267">
        <v>4525</v>
      </c>
      <c r="Y31" s="263">
        <f>SUM(V31:X31)</f>
        <v>6525</v>
      </c>
      <c r="Z31" s="263"/>
      <c r="AA31" s="266">
        <f>Y31+Z31</f>
        <v>6525</v>
      </c>
      <c r="AB31" s="232">
        <f>(AA31/O31)</f>
        <v>1.0944313988594432</v>
      </c>
      <c r="AC31" s="178"/>
      <c r="AD31" s="178"/>
    </row>
    <row r="32" spans="1:30" x14ac:dyDescent="0.25">
      <c r="A32" s="180"/>
      <c r="B32" s="274" t="s">
        <v>49</v>
      </c>
      <c r="C32" s="273" t="s">
        <v>48</v>
      </c>
      <c r="D32" s="267">
        <v>10862</v>
      </c>
      <c r="E32" s="267">
        <v>36938.800000000003</v>
      </c>
      <c r="F32" s="267">
        <v>22951</v>
      </c>
      <c r="G32" s="263">
        <f>SUM(D32:F32)</f>
        <v>70751.8</v>
      </c>
      <c r="H32" s="263"/>
      <c r="I32" s="266">
        <f>G32+H32</f>
        <v>70751.8</v>
      </c>
      <c r="J32" s="268">
        <v>14712</v>
      </c>
      <c r="K32" s="267">
        <v>41130</v>
      </c>
      <c r="L32" s="267">
        <v>21343</v>
      </c>
      <c r="M32" s="263">
        <f>SUM(J32:L32)</f>
        <v>77185</v>
      </c>
      <c r="N32" s="263"/>
      <c r="O32" s="266">
        <f>M32+N32</f>
        <v>77185</v>
      </c>
      <c r="P32" s="275">
        <v>8792.5</v>
      </c>
      <c r="Q32" s="267">
        <v>20077.099999999999</v>
      </c>
      <c r="R32" s="267">
        <v>11187.91</v>
      </c>
      <c r="S32" s="263">
        <f>SUM(P32:R32)</f>
        <v>40057.509999999995</v>
      </c>
      <c r="T32" s="263">
        <v>45</v>
      </c>
      <c r="U32" s="266">
        <f>S32+T32</f>
        <v>40102.509999999995</v>
      </c>
      <c r="V32" s="268">
        <f>69885-39230-22000+549</f>
        <v>9204</v>
      </c>
      <c r="W32" s="267">
        <v>42041</v>
      </c>
      <c r="X32" s="267">
        <v>22000</v>
      </c>
      <c r="Y32" s="263">
        <f>SUM(V32:X32)</f>
        <v>73245</v>
      </c>
      <c r="Z32" s="263"/>
      <c r="AA32" s="266">
        <f>Y32+Z32</f>
        <v>73245</v>
      </c>
      <c r="AB32" s="232">
        <f>(AA32/O32)</f>
        <v>0.94895381226922326</v>
      </c>
      <c r="AC32" s="178"/>
      <c r="AD32" s="178"/>
    </row>
    <row r="33" spans="1:30" x14ac:dyDescent="0.25">
      <c r="A33" s="180"/>
      <c r="B33" s="274" t="s">
        <v>47</v>
      </c>
      <c r="C33" s="280" t="s">
        <v>46</v>
      </c>
      <c r="D33" s="267">
        <v>10862</v>
      </c>
      <c r="E33" s="267">
        <v>36938.800000000003</v>
      </c>
      <c r="F33" s="267">
        <v>21106.3</v>
      </c>
      <c r="G33" s="263">
        <f>SUM(D33:F33)</f>
        <v>68907.100000000006</v>
      </c>
      <c r="H33" s="263"/>
      <c r="I33" s="266">
        <f>G33+H33</f>
        <v>68907.100000000006</v>
      </c>
      <c r="J33" s="268">
        <v>14712</v>
      </c>
      <c r="K33" s="267">
        <v>41030</v>
      </c>
      <c r="L33" s="267">
        <v>21343</v>
      </c>
      <c r="M33" s="263">
        <f>SUM(J33:L33)</f>
        <v>77085</v>
      </c>
      <c r="N33" s="263"/>
      <c r="O33" s="266">
        <f>M33+N33</f>
        <v>77085</v>
      </c>
      <c r="P33" s="275">
        <v>8792.5</v>
      </c>
      <c r="Q33" s="267">
        <v>19424.7</v>
      </c>
      <c r="R33" s="267">
        <v>11197.9</v>
      </c>
      <c r="S33" s="263">
        <f>SUM(P33:R33)</f>
        <v>39415.1</v>
      </c>
      <c r="T33" s="263"/>
      <c r="U33" s="266">
        <f>S33+T33</f>
        <v>39415.1</v>
      </c>
      <c r="V33" s="268">
        <v>9154</v>
      </c>
      <c r="W33" s="267">
        <v>42041</v>
      </c>
      <c r="X33" s="267">
        <v>22000</v>
      </c>
      <c r="Y33" s="263">
        <f>SUM(V33:X33)</f>
        <v>73195</v>
      </c>
      <c r="Z33" s="263"/>
      <c r="AA33" s="266">
        <f>Y33+Z33</f>
        <v>73195</v>
      </c>
      <c r="AB33" s="232">
        <f>(AA33/O33)</f>
        <v>0.94953622624375689</v>
      </c>
      <c r="AC33" s="178"/>
      <c r="AD33" s="178"/>
    </row>
    <row r="34" spans="1:30" x14ac:dyDescent="0.25">
      <c r="A34" s="180"/>
      <c r="B34" s="274" t="s">
        <v>45</v>
      </c>
      <c r="C34" s="278" t="s">
        <v>44</v>
      </c>
      <c r="D34" s="267">
        <v>0</v>
      </c>
      <c r="E34" s="267"/>
      <c r="F34" s="267">
        <v>144.69999999999999</v>
      </c>
      <c r="G34" s="263">
        <f>SUM(D34:F34)</f>
        <v>144.69999999999999</v>
      </c>
      <c r="H34" s="263"/>
      <c r="I34" s="266">
        <f>G34+H34</f>
        <v>144.69999999999999</v>
      </c>
      <c r="J34" s="268"/>
      <c r="K34" s="267">
        <v>100</v>
      </c>
      <c r="L34" s="267"/>
      <c r="M34" s="263">
        <f>SUM(J34:L34)</f>
        <v>100</v>
      </c>
      <c r="N34" s="263"/>
      <c r="O34" s="266">
        <f>M34+N34</f>
        <v>100</v>
      </c>
      <c r="P34" s="275" t="s">
        <v>52</v>
      </c>
      <c r="Q34" s="267">
        <v>36.9</v>
      </c>
      <c r="R34" s="267"/>
      <c r="S34" s="263">
        <f>SUM(P34:R34)</f>
        <v>36.9</v>
      </c>
      <c r="T34" s="263"/>
      <c r="U34" s="266">
        <f>S34+T34</f>
        <v>36.9</v>
      </c>
      <c r="V34" s="268">
        <v>50</v>
      </c>
      <c r="W34" s="267"/>
      <c r="X34" s="267"/>
      <c r="Y34" s="263">
        <f>SUM(V34:X34)</f>
        <v>50</v>
      </c>
      <c r="Z34" s="263"/>
      <c r="AA34" s="266">
        <f>Y34+Z34</f>
        <v>50</v>
      </c>
      <c r="AB34" s="232">
        <f>(AA34/O34)</f>
        <v>0.5</v>
      </c>
      <c r="AC34" s="178"/>
      <c r="AD34" s="178"/>
    </row>
    <row r="35" spans="1:30" x14ac:dyDescent="0.25">
      <c r="A35" s="180"/>
      <c r="B35" s="274" t="s">
        <v>43</v>
      </c>
      <c r="C35" s="273" t="s">
        <v>42</v>
      </c>
      <c r="D35" s="267">
        <v>3330</v>
      </c>
      <c r="E35" s="267">
        <v>11232.9</v>
      </c>
      <c r="F35" s="267">
        <v>8582.1</v>
      </c>
      <c r="G35" s="263">
        <f>SUM(D35:F35)</f>
        <v>23145</v>
      </c>
      <c r="H35" s="263"/>
      <c r="I35" s="266">
        <f>G35+H35</f>
        <v>23145</v>
      </c>
      <c r="J35" s="268">
        <v>5001</v>
      </c>
      <c r="K35" s="267">
        <v>13286.68</v>
      </c>
      <c r="L35" s="267">
        <v>7801.32</v>
      </c>
      <c r="M35" s="263">
        <f>SUM(J35:L35)</f>
        <v>26089</v>
      </c>
      <c r="N35" s="263"/>
      <c r="O35" s="266">
        <f>M35+N35</f>
        <v>26089</v>
      </c>
      <c r="P35" s="275">
        <v>5214.7</v>
      </c>
      <c r="Q35" s="267">
        <v>2169.1999999999998</v>
      </c>
      <c r="R35" s="267">
        <v>5795.57</v>
      </c>
      <c r="S35" s="263">
        <f>SUM(P35:R35)</f>
        <v>13179.47</v>
      </c>
      <c r="T35" s="263"/>
      <c r="U35" s="266">
        <f>S35+T35</f>
        <v>13179.47</v>
      </c>
      <c r="V35" s="268">
        <f>23605-13262-7436+187</f>
        <v>3094</v>
      </c>
      <c r="W35" s="267">
        <v>14211</v>
      </c>
      <c r="X35" s="267">
        <v>7436</v>
      </c>
      <c r="Y35" s="263">
        <f>SUM(V35:X35)</f>
        <v>24741</v>
      </c>
      <c r="Z35" s="263"/>
      <c r="AA35" s="266">
        <f>Y35+Z35</f>
        <v>24741</v>
      </c>
      <c r="AB35" s="232">
        <f>(AA35/O35)</f>
        <v>0.94833071409406267</v>
      </c>
      <c r="AC35" s="178"/>
      <c r="AD35" s="178"/>
    </row>
    <row r="36" spans="1:30" x14ac:dyDescent="0.25">
      <c r="A36" s="180"/>
      <c r="B36" s="274" t="s">
        <v>41</v>
      </c>
      <c r="C36" s="273" t="s">
        <v>40</v>
      </c>
      <c r="D36" s="267" t="s">
        <v>52</v>
      </c>
      <c r="E36" s="267"/>
      <c r="F36" s="267">
        <v>1.7</v>
      </c>
      <c r="G36" s="263">
        <f>SUM(D36:F36)</f>
        <v>1.7</v>
      </c>
      <c r="H36" s="263"/>
      <c r="I36" s="266">
        <f>G36+H36</f>
        <v>1.7</v>
      </c>
      <c r="J36" s="268"/>
      <c r="K36" s="267"/>
      <c r="L36" s="267">
        <v>1180</v>
      </c>
      <c r="M36" s="263">
        <f>SUM(J36:L36)</f>
        <v>1180</v>
      </c>
      <c r="N36" s="263"/>
      <c r="O36" s="266">
        <f>M36+N36</f>
        <v>1180</v>
      </c>
      <c r="P36" s="268"/>
      <c r="Q36" s="267"/>
      <c r="R36" s="267">
        <v>0.6</v>
      </c>
      <c r="S36" s="263">
        <f>SUM(P36:R36)</f>
        <v>0.6</v>
      </c>
      <c r="T36" s="263"/>
      <c r="U36" s="266">
        <f>S36+T36</f>
        <v>0.6</v>
      </c>
      <c r="V36" s="268">
        <v>0</v>
      </c>
      <c r="W36" s="267"/>
      <c r="X36" s="267"/>
      <c r="Y36" s="263">
        <f>SUM(V36:X36)</f>
        <v>0</v>
      </c>
      <c r="Z36" s="263"/>
      <c r="AA36" s="266">
        <f>Y36+Z36</f>
        <v>0</v>
      </c>
      <c r="AB36" s="232">
        <f>(AA36/O36)</f>
        <v>0</v>
      </c>
      <c r="AC36" s="178"/>
      <c r="AD36" s="178"/>
    </row>
    <row r="37" spans="1:30" x14ac:dyDescent="0.25">
      <c r="A37" s="180"/>
      <c r="B37" s="274" t="s">
        <v>39</v>
      </c>
      <c r="C37" s="273" t="s">
        <v>38</v>
      </c>
      <c r="D37" s="267">
        <v>762</v>
      </c>
      <c r="E37" s="267"/>
      <c r="F37" s="267">
        <v>606.70000000000005</v>
      </c>
      <c r="G37" s="263">
        <f>SUM(D37:F37)</f>
        <v>1368.7</v>
      </c>
      <c r="H37" s="263"/>
      <c r="I37" s="266">
        <f>G37+H37</f>
        <v>1368.7</v>
      </c>
      <c r="J37" s="268">
        <v>205</v>
      </c>
      <c r="K37" s="267"/>
      <c r="L37" s="267">
        <v>3382</v>
      </c>
      <c r="M37" s="263">
        <f>SUM(J37:L37)</f>
        <v>3587</v>
      </c>
      <c r="N37" s="263"/>
      <c r="O37" s="266">
        <f>M37+N37</f>
        <v>3587</v>
      </c>
      <c r="P37" s="268">
        <v>142</v>
      </c>
      <c r="Q37" s="267"/>
      <c r="R37" s="267">
        <v>552.42999999999995</v>
      </c>
      <c r="S37" s="263">
        <f>SUM(P37:R37)</f>
        <v>694.43</v>
      </c>
      <c r="T37" s="263"/>
      <c r="U37" s="266">
        <f>S37+T37</f>
        <v>694.43</v>
      </c>
      <c r="V37" s="268">
        <f>1147-750</f>
        <v>397</v>
      </c>
      <c r="W37" s="267"/>
      <c r="X37" s="267">
        <v>750</v>
      </c>
      <c r="Y37" s="263">
        <f>SUM(V37:X37)</f>
        <v>1147</v>
      </c>
      <c r="Z37" s="263"/>
      <c r="AA37" s="266">
        <f>Y37+Z37</f>
        <v>1147</v>
      </c>
      <c r="AB37" s="232">
        <f>(AA37/O37)</f>
        <v>0.31976582102035128</v>
      </c>
      <c r="AC37" s="178"/>
      <c r="AD37" s="178"/>
    </row>
    <row r="38" spans="1:30" ht="15.75" thickBot="1" x14ac:dyDescent="0.3">
      <c r="A38" s="180"/>
      <c r="B38" s="265" t="s">
        <v>37</v>
      </c>
      <c r="C38" s="264" t="s">
        <v>36</v>
      </c>
      <c r="D38" s="257">
        <v>1841.9</v>
      </c>
      <c r="E38" s="257">
        <v>679</v>
      </c>
      <c r="F38" s="257">
        <v>3276.6</v>
      </c>
      <c r="G38" s="263">
        <f>SUM(D38:F38)</f>
        <v>5797.5</v>
      </c>
      <c r="H38" s="256"/>
      <c r="I38" s="255">
        <f>G38+H38</f>
        <v>5797.5</v>
      </c>
      <c r="J38" s="258">
        <v>828</v>
      </c>
      <c r="K38" s="257"/>
      <c r="L38" s="257"/>
      <c r="M38" s="256">
        <f>SUM(J38:L38)</f>
        <v>828</v>
      </c>
      <c r="N38" s="256"/>
      <c r="O38" s="255">
        <f>M38+N38</f>
        <v>828</v>
      </c>
      <c r="P38" s="258">
        <v>1029</v>
      </c>
      <c r="Q38" s="257">
        <v>990</v>
      </c>
      <c r="R38" s="257">
        <v>800.24</v>
      </c>
      <c r="S38" s="256">
        <f>SUM(P38:R38)</f>
        <v>2819.24</v>
      </c>
      <c r="T38" s="256"/>
      <c r="U38" s="255">
        <f>S38+T38</f>
        <v>2819.24</v>
      </c>
      <c r="V38" s="258">
        <f>4253-1424+67</f>
        <v>2896</v>
      </c>
      <c r="W38" s="257"/>
      <c r="X38" s="257">
        <v>1424</v>
      </c>
      <c r="Y38" s="256">
        <f>SUM(V38:X38)</f>
        <v>4320</v>
      </c>
      <c r="Z38" s="256"/>
      <c r="AA38" s="255">
        <f>Y38+Z38</f>
        <v>4320</v>
      </c>
      <c r="AB38" s="254">
        <f>(AA38/O38)</f>
        <v>5.2173913043478262</v>
      </c>
      <c r="AC38" s="178"/>
      <c r="AD38" s="178"/>
    </row>
    <row r="39" spans="1:30" ht="15.75" thickBot="1" x14ac:dyDescent="0.3">
      <c r="A39" s="180"/>
      <c r="B39" s="253" t="s">
        <v>35</v>
      </c>
      <c r="C39" s="252" t="s">
        <v>34</v>
      </c>
      <c r="D39" s="251">
        <f>SUM(D35:D38)+SUM(D28:D32)</f>
        <v>25850.9</v>
      </c>
      <c r="E39" s="251">
        <f>SUM(E35:E38)+SUM(E28:E32)</f>
        <v>51420.600000000006</v>
      </c>
      <c r="F39" s="251">
        <f>SUM(F35:F38)+SUM(F28:F32)</f>
        <v>54833.8</v>
      </c>
      <c r="G39" s="250">
        <f>SUM(D39:F39)</f>
        <v>132105.29999999999</v>
      </c>
      <c r="H39" s="249">
        <f>SUM(H28:H32)+SUM(H35:H38)</f>
        <v>0</v>
      </c>
      <c r="I39" s="248">
        <f>SUM(I35:I38)+SUM(I28:I32)</f>
        <v>132105.29999999999</v>
      </c>
      <c r="J39" s="251">
        <f>SUM(J35:J38)+SUM(J28:J32)</f>
        <v>26882</v>
      </c>
      <c r="K39" s="251">
        <f>SUM(K35:K38)+SUM(K28:K32)</f>
        <v>54518.68</v>
      </c>
      <c r="L39" s="251">
        <f>SUM(L35:L38)+SUM(L28:L32)</f>
        <v>57838.32</v>
      </c>
      <c r="M39" s="250">
        <f>SUM(J39:L39)</f>
        <v>139239</v>
      </c>
      <c r="N39" s="249">
        <f>SUM(N28:N32)+SUM(N35:N38)</f>
        <v>0</v>
      </c>
      <c r="O39" s="248">
        <f>SUM(O35:O38)+SUM(O28:O32)</f>
        <v>139239</v>
      </c>
      <c r="P39" s="251">
        <f>SUM(P35:P38)+SUM(P28:P32)</f>
        <v>17181.2</v>
      </c>
      <c r="Q39" s="251">
        <f>SUM(Q35:Q38)+SUM(Q28:Q32)</f>
        <v>23888.3</v>
      </c>
      <c r="R39" s="251">
        <f>SUM(R35:R38)+SUM(R28:R32)</f>
        <v>29584.329999999998</v>
      </c>
      <c r="S39" s="250">
        <f>SUM(P39:R39)</f>
        <v>70653.83</v>
      </c>
      <c r="T39" s="249">
        <f>SUM(T28:T32)+SUM(T35:T38)</f>
        <v>45.7</v>
      </c>
      <c r="U39" s="248">
        <f>SUM(U35:U38)+SUM(U28:U32)</f>
        <v>70699.53</v>
      </c>
      <c r="V39" s="251">
        <f>SUM(V35:V38)+SUM(V28:V32)</f>
        <v>24873</v>
      </c>
      <c r="W39" s="251">
        <f>SUM(W35:W38)+SUM(W28:W32)</f>
        <v>56252</v>
      </c>
      <c r="X39" s="251">
        <f>SUM(X35:X38)+SUM(X28:X32)</f>
        <v>56114</v>
      </c>
      <c r="Y39" s="250">
        <f>SUM(V39:X39)</f>
        <v>137239</v>
      </c>
      <c r="Z39" s="249">
        <f>SUM(Z28:Z32)+SUM(Z35:Z38)</f>
        <v>0</v>
      </c>
      <c r="AA39" s="248">
        <f>SUM(AA35:AA38)+SUM(AA28:AA32)</f>
        <v>137239</v>
      </c>
      <c r="AB39" s="247">
        <f>(AA39/O39)</f>
        <v>0.98563620824625287</v>
      </c>
      <c r="AC39" s="178"/>
      <c r="AD39" s="178"/>
    </row>
    <row r="40" spans="1:30" ht="19.5" thickBot="1" x14ac:dyDescent="0.35">
      <c r="A40" s="180"/>
      <c r="B40" s="246" t="s">
        <v>33</v>
      </c>
      <c r="C40" s="245" t="s">
        <v>32</v>
      </c>
      <c r="D40" s="244">
        <f>D24-D39</f>
        <v>0</v>
      </c>
      <c r="E40" s="244">
        <f>E24-E39</f>
        <v>-130.40000000000873</v>
      </c>
      <c r="F40" s="244">
        <f>F24-F39</f>
        <v>130.40000000000146</v>
      </c>
      <c r="G40" s="243">
        <f>G24-G39</f>
        <v>0</v>
      </c>
      <c r="H40" s="243">
        <f>H24-H39</f>
        <v>13.3</v>
      </c>
      <c r="I40" s="242">
        <f>I24-I39</f>
        <v>13.300000000017462</v>
      </c>
      <c r="J40" s="244">
        <f>J24-J39</f>
        <v>0</v>
      </c>
      <c r="K40" s="244">
        <f>K24-K39</f>
        <v>0</v>
      </c>
      <c r="L40" s="244">
        <f>L24-L39</f>
        <v>0</v>
      </c>
      <c r="M40" s="243">
        <f>M24-M39</f>
        <v>0</v>
      </c>
      <c r="N40" s="243">
        <f>N24-N39</f>
        <v>0</v>
      </c>
      <c r="O40" s="242">
        <f>O24-O39</f>
        <v>0</v>
      </c>
      <c r="P40" s="244">
        <f>P24-P39</f>
        <v>1868.7999999999993</v>
      </c>
      <c r="Q40" s="244">
        <f>Q24-Q39</f>
        <v>13137.600000000002</v>
      </c>
      <c r="R40" s="244">
        <f>R24-R39</f>
        <v>990.00000000000364</v>
      </c>
      <c r="S40" s="243">
        <f>S24-S39</f>
        <v>15996.400000000009</v>
      </c>
      <c r="T40" s="243">
        <f>T24-T39</f>
        <v>-21.200000000000003</v>
      </c>
      <c r="U40" s="242">
        <f>U24-U39</f>
        <v>15975.199999999997</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-25837.599999999984</v>
      </c>
      <c r="J41" s="237"/>
      <c r="K41" s="236"/>
      <c r="L41" s="236"/>
      <c r="M41" s="235"/>
      <c r="N41" s="234"/>
      <c r="O41" s="233">
        <f>O40-J16</f>
        <v>-26882</v>
      </c>
      <c r="P41" s="237"/>
      <c r="Q41" s="236"/>
      <c r="R41" s="236"/>
      <c r="S41" s="235"/>
      <c r="T41" s="234"/>
      <c r="U41" s="233">
        <f>U40-P16</f>
        <v>-3074.8000000000029</v>
      </c>
      <c r="V41" s="237"/>
      <c r="W41" s="236"/>
      <c r="X41" s="236"/>
      <c r="Y41" s="235"/>
      <c r="Z41" s="234"/>
      <c r="AA41" s="233">
        <f>AA40-V16</f>
        <v>-24873</v>
      </c>
      <c r="AB41" s="232">
        <f>(AA41/O41)</f>
        <v>0.92526597723383674</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c r="E44" s="225"/>
      <c r="F44" s="224">
        <v>0</v>
      </c>
      <c r="G44" s="202"/>
      <c r="H44" s="202"/>
      <c r="I44" s="201"/>
      <c r="J44" s="214"/>
      <c r="K44" s="225"/>
      <c r="L44" s="224">
        <v>0</v>
      </c>
      <c r="M44" s="223"/>
      <c r="N44" s="223"/>
      <c r="O44" s="223"/>
      <c r="P44" s="214"/>
      <c r="Q44" s="225"/>
      <c r="R44" s="224">
        <v>0</v>
      </c>
      <c r="S44" s="178"/>
      <c r="T44" s="178"/>
      <c r="U44" s="178"/>
      <c r="V44" s="214"/>
      <c r="W44" s="225"/>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143</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D50+E50-F50</f>
        <v>0</v>
      </c>
      <c r="H50" s="202"/>
      <c r="I50" s="178"/>
      <c r="J50" s="210"/>
      <c r="K50" s="210"/>
      <c r="L50" s="210"/>
      <c r="M50" s="209">
        <f>J50+K50-L50</f>
        <v>0</v>
      </c>
      <c r="N50" s="178"/>
      <c r="O50" s="178"/>
      <c r="P50" s="210"/>
      <c r="Q50" s="210"/>
      <c r="R50" s="210"/>
      <c r="S50" s="209">
        <f>P50+Q50-R50</f>
        <v>0</v>
      </c>
      <c r="T50" s="178"/>
      <c r="U50" s="178"/>
      <c r="V50" s="210"/>
      <c r="W50" s="210"/>
      <c r="X50" s="210"/>
      <c r="Y50" s="209">
        <f>V50+W50-X50</f>
        <v>0</v>
      </c>
      <c r="Z50" s="178"/>
      <c r="AA50" s="178"/>
      <c r="AB50" s="178"/>
      <c r="AC50" s="178"/>
      <c r="AD50" s="178"/>
    </row>
    <row r="51" spans="1:30" x14ac:dyDescent="0.25">
      <c r="A51" s="180"/>
      <c r="B51" s="204"/>
      <c r="C51" s="206" t="s">
        <v>15</v>
      </c>
      <c r="D51" s="210">
        <v>5226.3</v>
      </c>
      <c r="E51" s="210">
        <v>3557</v>
      </c>
      <c r="F51" s="210">
        <v>5346.8</v>
      </c>
      <c r="G51" s="209">
        <f>D51+E51-F51</f>
        <v>3436.4999999999991</v>
      </c>
      <c r="H51" s="202"/>
      <c r="I51" s="178"/>
      <c r="J51" s="210">
        <v>221.9</v>
      </c>
      <c r="K51" s="210">
        <v>90</v>
      </c>
      <c r="L51" s="210">
        <v>0</v>
      </c>
      <c r="M51" s="209">
        <f>J51+K51-L51</f>
        <v>311.89999999999998</v>
      </c>
      <c r="N51" s="178"/>
      <c r="O51" s="178"/>
      <c r="P51" s="210">
        <v>3436.4</v>
      </c>
      <c r="Q51" s="210">
        <v>13.9</v>
      </c>
      <c r="R51" s="210">
        <v>3348.4</v>
      </c>
      <c r="S51" s="209">
        <f>P51+Q51-R51</f>
        <v>101.90000000000009</v>
      </c>
      <c r="T51" s="178"/>
      <c r="U51" s="178"/>
      <c r="V51" s="210">
        <v>101.9</v>
      </c>
      <c r="W51" s="210">
        <v>0</v>
      </c>
      <c r="X51" s="210">
        <v>0</v>
      </c>
      <c r="Y51" s="209">
        <f>V51+W51-X51</f>
        <v>101.9</v>
      </c>
      <c r="Z51" s="178"/>
      <c r="AA51" s="178"/>
      <c r="AB51" s="178"/>
      <c r="AC51" s="178"/>
      <c r="AD51" s="178"/>
    </row>
    <row r="52" spans="1:30" x14ac:dyDescent="0.25">
      <c r="A52" s="180"/>
      <c r="B52" s="204"/>
      <c r="C52" s="206" t="s">
        <v>14</v>
      </c>
      <c r="D52" s="210">
        <v>145.4</v>
      </c>
      <c r="E52" s="210">
        <v>1890.4</v>
      </c>
      <c r="F52" s="210">
        <v>1276.5</v>
      </c>
      <c r="G52" s="209">
        <f>D52+E52-F52</f>
        <v>759.30000000000018</v>
      </c>
      <c r="H52" s="202"/>
      <c r="I52" s="178"/>
      <c r="J52" s="210">
        <v>822.8</v>
      </c>
      <c r="K52" s="210">
        <v>1385</v>
      </c>
      <c r="L52" s="210">
        <v>1382</v>
      </c>
      <c r="M52" s="209">
        <f>J52+K52-L52</f>
        <v>825.80000000000018</v>
      </c>
      <c r="N52" s="178"/>
      <c r="O52" s="178"/>
      <c r="P52" s="210">
        <v>759.3</v>
      </c>
      <c r="Q52" s="210">
        <v>660.1</v>
      </c>
      <c r="R52" s="210">
        <v>145.19999999999999</v>
      </c>
      <c r="S52" s="209">
        <f>P52+Q52-R52</f>
        <v>1274.2</v>
      </c>
      <c r="T52" s="178"/>
      <c r="U52" s="178"/>
      <c r="V52" s="210">
        <v>825.8</v>
      </c>
      <c r="W52" s="210">
        <v>1147</v>
      </c>
      <c r="X52" s="210">
        <v>450</v>
      </c>
      <c r="Y52" s="209">
        <f>V52+W52-X52</f>
        <v>1522.8</v>
      </c>
      <c r="Z52" s="178"/>
      <c r="AA52" s="178"/>
      <c r="AB52" s="178"/>
      <c r="AC52" s="178"/>
      <c r="AD52" s="178"/>
    </row>
    <row r="53" spans="1:30" x14ac:dyDescent="0.25">
      <c r="A53" s="180"/>
      <c r="B53" s="204"/>
      <c r="C53" s="206" t="s">
        <v>13</v>
      </c>
      <c r="D53" s="210">
        <v>109.6</v>
      </c>
      <c r="E53" s="210">
        <v>0</v>
      </c>
      <c r="F53" s="210">
        <v>0</v>
      </c>
      <c r="G53" s="209">
        <f>D53+E53-F53</f>
        <v>109.6</v>
      </c>
      <c r="H53" s="202"/>
      <c r="I53" s="178"/>
      <c r="J53" s="210">
        <v>109.6</v>
      </c>
      <c r="K53" s="210">
        <v>0</v>
      </c>
      <c r="L53" s="210">
        <v>0</v>
      </c>
      <c r="M53" s="209">
        <f>J53+K53-L53</f>
        <v>109.6</v>
      </c>
      <c r="N53" s="178"/>
      <c r="O53" s="178"/>
      <c r="P53" s="210">
        <v>109.6</v>
      </c>
      <c r="Q53" s="210">
        <v>0</v>
      </c>
      <c r="R53" s="210">
        <v>0</v>
      </c>
      <c r="S53" s="209">
        <f>P53+Q53-R53</f>
        <v>109.6</v>
      </c>
      <c r="T53" s="178"/>
      <c r="U53" s="178"/>
      <c r="V53" s="210">
        <v>109.6</v>
      </c>
      <c r="W53" s="210">
        <v>0</v>
      </c>
      <c r="X53" s="210">
        <v>0</v>
      </c>
      <c r="Y53" s="209">
        <f>V53+W53-X53</f>
        <v>109.6</v>
      </c>
      <c r="Z53" s="178"/>
      <c r="AA53" s="178"/>
      <c r="AB53" s="178"/>
      <c r="AC53" s="178"/>
      <c r="AD53" s="178"/>
    </row>
    <row r="54" spans="1:30" x14ac:dyDescent="0.25">
      <c r="A54" s="180"/>
      <c r="B54" s="204"/>
      <c r="C54" s="212" t="s">
        <v>12</v>
      </c>
      <c r="D54" s="210">
        <v>399.7</v>
      </c>
      <c r="E54" s="210">
        <v>1378.1</v>
      </c>
      <c r="F54" s="210">
        <v>1272.3</v>
      </c>
      <c r="G54" s="209">
        <f>D54+E54-F54</f>
        <v>505.5</v>
      </c>
      <c r="H54" s="202"/>
      <c r="I54" s="178"/>
      <c r="J54" s="210">
        <v>510.2</v>
      </c>
      <c r="K54" s="210">
        <v>1184</v>
      </c>
      <c r="L54" s="210">
        <v>1300</v>
      </c>
      <c r="M54" s="209">
        <f>J54+K54-L54</f>
        <v>394.20000000000005</v>
      </c>
      <c r="N54" s="178"/>
      <c r="O54" s="178"/>
      <c r="P54" s="210">
        <v>505.5</v>
      </c>
      <c r="Q54" s="210">
        <v>783.3</v>
      </c>
      <c r="R54" s="210">
        <v>462.1</v>
      </c>
      <c r="S54" s="209">
        <f>P54+Q54-R54</f>
        <v>826.69999999999993</v>
      </c>
      <c r="T54" s="178"/>
      <c r="U54" s="178"/>
      <c r="V54" s="210">
        <v>394.2</v>
      </c>
      <c r="W54" s="210">
        <f>67+1392</f>
        <v>1459</v>
      </c>
      <c r="X54" s="210">
        <v>1300</v>
      </c>
      <c r="Y54" s="209">
        <f>V54+W54-X54</f>
        <v>553.20000000000005</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202</v>
      </c>
      <c r="E57" s="205">
        <v>197.9</v>
      </c>
      <c r="F57" s="202"/>
      <c r="G57" s="202"/>
      <c r="H57" s="202"/>
      <c r="I57" s="201"/>
      <c r="J57" s="205">
        <v>205</v>
      </c>
      <c r="K57" s="202"/>
      <c r="L57" s="202"/>
      <c r="M57" s="202"/>
      <c r="N57" s="202"/>
      <c r="O57" s="201"/>
      <c r="P57" s="205">
        <v>193.7</v>
      </c>
      <c r="Q57" s="201"/>
      <c r="R57" s="201"/>
      <c r="S57" s="201"/>
      <c r="T57" s="201"/>
      <c r="U57" s="201"/>
      <c r="V57" s="205">
        <v>198</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t="s">
        <v>142</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t="s">
        <v>141</v>
      </c>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x14ac:dyDescent="0.25">
      <c r="A62" s="180"/>
      <c r="B62" s="424" t="s">
        <v>140</v>
      </c>
      <c r="C62" s="423"/>
      <c r="D62" s="423"/>
      <c r="E62" s="423"/>
      <c r="F62" s="423"/>
      <c r="G62" s="423"/>
      <c r="H62" s="423"/>
      <c r="I62" s="423"/>
      <c r="J62" s="423"/>
      <c r="K62" s="423"/>
      <c r="L62" s="423"/>
      <c r="M62" s="423"/>
      <c r="N62" s="423"/>
      <c r="O62" s="423"/>
      <c r="P62" s="423"/>
      <c r="Q62" s="423"/>
      <c r="R62" s="423"/>
      <c r="S62" s="423"/>
      <c r="T62" s="423"/>
      <c r="U62" s="423"/>
      <c r="V62" s="191"/>
      <c r="W62" s="191"/>
      <c r="X62" s="191"/>
      <c r="Y62" s="191"/>
      <c r="Z62" s="191"/>
      <c r="AA62" s="191"/>
      <c r="AB62" s="190"/>
      <c r="AC62" s="178"/>
      <c r="AD62" s="178"/>
    </row>
    <row r="63" spans="1:30" x14ac:dyDescent="0.25">
      <c r="A63" s="180"/>
      <c r="B63" s="424" t="s">
        <v>139</v>
      </c>
      <c r="C63" s="423"/>
      <c r="D63" s="423"/>
      <c r="E63" s="423"/>
      <c r="F63" s="423"/>
      <c r="G63" s="423"/>
      <c r="H63" s="423"/>
      <c r="I63" s="423"/>
      <c r="J63" s="423"/>
      <c r="K63" s="423"/>
      <c r="L63" s="423"/>
      <c r="M63" s="423"/>
      <c r="N63" s="423"/>
      <c r="O63" s="423"/>
      <c r="P63" s="423"/>
      <c r="Q63" s="423"/>
      <c r="R63" s="423"/>
      <c r="S63" s="423"/>
      <c r="T63" s="423"/>
      <c r="U63" s="423"/>
      <c r="V63" s="191"/>
      <c r="W63" s="191"/>
      <c r="X63" s="191"/>
      <c r="Y63" s="191"/>
      <c r="Z63" s="191"/>
      <c r="AA63" s="191"/>
      <c r="AB63" s="190"/>
      <c r="AC63" s="178"/>
      <c r="AD63" s="178"/>
    </row>
    <row r="64" spans="1:30" x14ac:dyDescent="0.25">
      <c r="A64" s="180"/>
      <c r="B64" s="421" t="s">
        <v>138</v>
      </c>
      <c r="C64" s="422"/>
      <c r="D64" s="422"/>
      <c r="E64" s="422"/>
      <c r="F64" s="422"/>
      <c r="G64" s="422"/>
      <c r="H64" s="422"/>
      <c r="I64" s="422"/>
      <c r="J64" s="422"/>
      <c r="K64" s="422"/>
      <c r="L64" s="422"/>
      <c r="M64" s="422"/>
      <c r="N64" s="422"/>
      <c r="O64" s="422"/>
      <c r="P64" s="422"/>
      <c r="Q64" s="422"/>
      <c r="R64" s="422"/>
      <c r="S64" s="422"/>
      <c r="T64" s="422"/>
      <c r="U64" s="422"/>
      <c r="V64" s="191"/>
      <c r="W64" s="191"/>
      <c r="X64" s="191"/>
      <c r="Y64" s="191"/>
      <c r="Z64" s="191"/>
      <c r="AA64" s="191"/>
      <c r="AB64" s="190"/>
      <c r="AC64" s="178"/>
      <c r="AD64" s="178"/>
    </row>
    <row r="65" spans="1:30" x14ac:dyDescent="0.25">
      <c r="A65" s="180"/>
      <c r="B65" s="193" t="s">
        <v>137</v>
      </c>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421" t="s">
        <v>136</v>
      </c>
      <c r="C66" s="42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421" t="s">
        <v>135</v>
      </c>
      <c r="C67" s="42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t="s">
        <v>134</v>
      </c>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421" t="s">
        <v>133</v>
      </c>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421" t="s">
        <v>132</v>
      </c>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44501</v>
      </c>
      <c r="D91" s="179" t="s">
        <v>4</v>
      </c>
      <c r="E91" s="184" t="s">
        <v>131</v>
      </c>
      <c r="F91" s="184"/>
      <c r="G91" s="184"/>
      <c r="H91" s="179"/>
      <c r="I91" s="179" t="s">
        <v>2</v>
      </c>
      <c r="J91" s="183" t="s">
        <v>130</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5">
    <mergeCell ref="V10:AA10"/>
    <mergeCell ref="V25:AA25"/>
    <mergeCell ref="Y13:Y14"/>
    <mergeCell ref="Z13:Z14"/>
    <mergeCell ref="AB25:AB27"/>
    <mergeCell ref="V26:X26"/>
    <mergeCell ref="AA26:AA27"/>
    <mergeCell ref="AB10:AB14"/>
    <mergeCell ref="V11:Y11"/>
    <mergeCell ref="V12:AA12"/>
    <mergeCell ref="V13:X13"/>
    <mergeCell ref="AA13:AA14"/>
    <mergeCell ref="Y26:Y27"/>
    <mergeCell ref="Z26:Z27"/>
    <mergeCell ref="S13:S14"/>
    <mergeCell ref="T13:T14"/>
    <mergeCell ref="U13:U14"/>
    <mergeCell ref="P25:U25"/>
    <mergeCell ref="P26:R26"/>
    <mergeCell ref="S26:S27"/>
    <mergeCell ref="T26:T27"/>
    <mergeCell ref="U26:U27"/>
    <mergeCell ref="D12:I12"/>
    <mergeCell ref="D10:I10"/>
    <mergeCell ref="D11:G11"/>
    <mergeCell ref="C10:C13"/>
    <mergeCell ref="D13:F13"/>
    <mergeCell ref="H26:H27"/>
    <mergeCell ref="I26:I27"/>
    <mergeCell ref="H13:H14"/>
    <mergeCell ref="E91:G91"/>
    <mergeCell ref="J91:M91"/>
    <mergeCell ref="B63:U63"/>
    <mergeCell ref="B82:U82"/>
    <mergeCell ref="D4:U4"/>
    <mergeCell ref="D8:U8"/>
    <mergeCell ref="C43:C44"/>
    <mergeCell ref="C46:C47"/>
    <mergeCell ref="C26:C27"/>
    <mergeCell ref="B62:U62"/>
    <mergeCell ref="D59:U59"/>
    <mergeCell ref="B61:U61"/>
    <mergeCell ref="B26:B27"/>
    <mergeCell ref="O13:O14"/>
    <mergeCell ref="J25:O25"/>
    <mergeCell ref="J26:L26"/>
    <mergeCell ref="M26:M27"/>
    <mergeCell ref="N26:N27"/>
    <mergeCell ref="O26:O27"/>
    <mergeCell ref="I13:I14"/>
    <mergeCell ref="D25:I25"/>
    <mergeCell ref="D26:F26"/>
    <mergeCell ref="G26:G27"/>
    <mergeCell ref="B10:B13"/>
    <mergeCell ref="P10:U10"/>
    <mergeCell ref="P11:S11"/>
    <mergeCell ref="P12:U12"/>
    <mergeCell ref="P13:R13"/>
    <mergeCell ref="G13:G14"/>
    <mergeCell ref="J10:O10"/>
    <mergeCell ref="J11:M11"/>
    <mergeCell ref="J12:O12"/>
    <mergeCell ref="J13:L13"/>
    <mergeCell ref="M13:M14"/>
    <mergeCell ref="N13:N14"/>
  </mergeCells>
  <conditionalFormatting sqref="AB15:AB25">
    <cfRule type="cellIs" dxfId="61" priority="3" operator="equal">
      <formula>0</formula>
    </cfRule>
    <cfRule type="containsErrors" dxfId="60" priority="4">
      <formula>ISERROR(AB15)</formula>
    </cfRule>
  </conditionalFormatting>
  <conditionalFormatting sqref="AB28:AB41">
    <cfRule type="cellIs" dxfId="59" priority="1" operator="equal">
      <formula>0</formula>
    </cfRule>
    <cfRule type="containsErrors" dxfId="58" priority="2">
      <formula>ISERROR(AB28)</formula>
    </cfRule>
  </conditionalFormatting>
  <pageMargins left="0.70866141732283472" right="0.70866141732283472" top="0.78740157480314965" bottom="0.78740157480314965" header="0.31496062992125984" footer="0.31496062992125984"/>
  <pageSetup paperSize="8"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276"/>
  <sheetViews>
    <sheetView showGridLines="0" zoomScale="80" zoomScaleNormal="80" zoomScaleSheetLayoutView="80" workbookViewId="0">
      <selection activeCell="C85" sqref="C85"/>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7.7109375" style="176" customWidth="1"/>
    <col min="10" max="10" width="16.140625" style="176" bestFit="1" customWidth="1"/>
    <col min="11" max="11" width="17.85546875" style="176" bestFit="1" customWidth="1"/>
    <col min="12" max="12" width="17.140625" style="176" customWidth="1"/>
    <col min="13" max="13" width="23.42578125" style="177" bestFit="1" customWidth="1"/>
    <col min="14" max="14" width="13.28515625" style="176" customWidth="1"/>
    <col min="15" max="15" width="16.28515625" style="176" customWidth="1"/>
    <col min="16" max="18" width="16.42578125" style="176" customWidth="1"/>
    <col min="19" max="19" width="21.140625" style="176" customWidth="1"/>
    <col min="20" max="20" width="14.5703125" style="176" customWidth="1"/>
    <col min="21" max="21" width="17" style="176" customWidth="1"/>
    <col min="22" max="22" width="16.140625" style="176" bestFit="1" customWidth="1"/>
    <col min="23" max="23" width="17.140625" style="176" customWidth="1"/>
    <col min="24" max="24" width="16.5703125" style="176" customWidth="1"/>
    <col min="25" max="25" width="21.85546875" style="176" customWidth="1"/>
    <col min="26" max="26" width="15.85546875" style="176" customWidth="1"/>
    <col min="27" max="27" width="15" style="176" customWidth="1"/>
    <col min="28" max="28" width="17.7109375" style="176" customWidth="1"/>
    <col min="29" max="29" width="7.71093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178</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379719</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54" t="s">
        <v>177</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23507190.600000001</v>
      </c>
      <c r="G15" s="366">
        <f>SUM(D15:F15)</f>
        <v>23507190.600000001</v>
      </c>
      <c r="H15" s="352">
        <v>6281389.7999999998</v>
      </c>
      <c r="I15" s="266">
        <f>G15+H15</f>
        <v>29788580.400000002</v>
      </c>
      <c r="J15" s="369"/>
      <c r="K15" s="368"/>
      <c r="L15" s="367">
        <v>29070000</v>
      </c>
      <c r="M15" s="366">
        <f>SUM(J15:L15)</f>
        <v>29070000</v>
      </c>
      <c r="N15" s="352">
        <v>4950000</v>
      </c>
      <c r="O15" s="266">
        <f>M15+N15</f>
        <v>34020000</v>
      </c>
      <c r="P15" s="369"/>
      <c r="Q15" s="368"/>
      <c r="R15" s="367">
        <v>9155824.3000000007</v>
      </c>
      <c r="S15" s="366">
        <f>SUM(P15:R15)</f>
        <v>9155824.3000000007</v>
      </c>
      <c r="T15" s="352">
        <v>2727622.1</v>
      </c>
      <c r="U15" s="266">
        <f>S15+T15</f>
        <v>11883446.4</v>
      </c>
      <c r="V15" s="369"/>
      <c r="W15" s="368"/>
      <c r="X15" s="367">
        <v>30100000</v>
      </c>
      <c r="Y15" s="366">
        <v>30100000</v>
      </c>
      <c r="Z15" s="352">
        <v>5050000</v>
      </c>
      <c r="AA15" s="266">
        <f>Y15+Z15</f>
        <v>35150000</v>
      </c>
      <c r="AB15" s="232">
        <f>(AA15/O15)</f>
        <v>1.0332157554379777</v>
      </c>
      <c r="AC15" s="178"/>
      <c r="AD15" s="178"/>
    </row>
    <row r="16" spans="1:30" x14ac:dyDescent="0.25">
      <c r="A16" s="180"/>
      <c r="B16" s="274" t="s">
        <v>86</v>
      </c>
      <c r="C16" s="361" t="s">
        <v>85</v>
      </c>
      <c r="D16" s="360">
        <v>42000000</v>
      </c>
      <c r="E16" s="343"/>
      <c r="F16" s="343"/>
      <c r="G16" s="341">
        <f>SUM(D16:F16)</f>
        <v>42000000</v>
      </c>
      <c r="H16" s="358"/>
      <c r="I16" s="266">
        <f>G16+H16</f>
        <v>42000000</v>
      </c>
      <c r="J16" s="360">
        <v>46000000</v>
      </c>
      <c r="K16" s="343"/>
      <c r="L16" s="343"/>
      <c r="M16" s="341">
        <f>SUM(J16:L16)</f>
        <v>46000000</v>
      </c>
      <c r="N16" s="358">
        <v>0</v>
      </c>
      <c r="O16" s="266">
        <f>M16+N16</f>
        <v>46000000</v>
      </c>
      <c r="P16" s="360">
        <v>22540000</v>
      </c>
      <c r="Q16" s="343"/>
      <c r="R16" s="343"/>
      <c r="S16" s="341">
        <f>SUM(P16:R16)</f>
        <v>22540000</v>
      </c>
      <c r="T16" s="358">
        <v>0</v>
      </c>
      <c r="U16" s="266">
        <f>S16+T16</f>
        <v>22540000</v>
      </c>
      <c r="V16" s="360">
        <v>47350000</v>
      </c>
      <c r="W16" s="343"/>
      <c r="X16" s="343"/>
      <c r="Y16" s="341">
        <f>SUM(V16:X16)</f>
        <v>47350000</v>
      </c>
      <c r="Z16" s="358"/>
      <c r="AA16" s="266">
        <f>Y16+Z16</f>
        <v>47350000</v>
      </c>
      <c r="AB16" s="232">
        <f>(AA16/O16)</f>
        <v>1.0293478260869566</v>
      </c>
      <c r="AC16" s="178"/>
      <c r="AD16" s="178"/>
    </row>
    <row r="17" spans="1:30" x14ac:dyDescent="0.25">
      <c r="A17" s="180"/>
      <c r="B17" s="274" t="s">
        <v>84</v>
      </c>
      <c r="C17" s="357" t="s">
        <v>83</v>
      </c>
      <c r="D17" s="356"/>
      <c r="E17" s="350"/>
      <c r="F17" s="350"/>
      <c r="G17" s="341">
        <f>SUM(D17:F17)</f>
        <v>0</v>
      </c>
      <c r="H17" s="355"/>
      <c r="I17" s="266">
        <f>G17+H17</f>
        <v>0</v>
      </c>
      <c r="J17" s="356"/>
      <c r="K17" s="350"/>
      <c r="L17" s="350"/>
      <c r="M17" s="341">
        <f>SUM(J17:L17)</f>
        <v>0</v>
      </c>
      <c r="N17" s="355">
        <v>0</v>
      </c>
      <c r="O17" s="266">
        <f>M17+N17</f>
        <v>0</v>
      </c>
      <c r="P17" s="356"/>
      <c r="Q17" s="350"/>
      <c r="R17" s="350"/>
      <c r="S17" s="341">
        <f>SUM(P17:R17)</f>
        <v>0</v>
      </c>
      <c r="T17" s="355">
        <v>0</v>
      </c>
      <c r="U17" s="266">
        <f>S17+T17</f>
        <v>0</v>
      </c>
      <c r="V17" s="356"/>
      <c r="W17" s="350"/>
      <c r="X17" s="350"/>
      <c r="Y17" s="341">
        <f>SUM(V17:X17)</f>
        <v>0</v>
      </c>
      <c r="Z17" s="355"/>
      <c r="AA17" s="266">
        <f>Y17+Z17</f>
        <v>0</v>
      </c>
      <c r="AB17" s="232" t="e">
        <f>(AA17/O17)</f>
        <v>#DIV/0!</v>
      </c>
      <c r="AC17" s="178"/>
      <c r="AD17" s="178"/>
    </row>
    <row r="18" spans="1:30" x14ac:dyDescent="0.25">
      <c r="A18" s="180"/>
      <c r="B18" s="274" t="s">
        <v>82</v>
      </c>
      <c r="C18" s="354" t="s">
        <v>81</v>
      </c>
      <c r="D18" s="344"/>
      <c r="E18" s="353">
        <v>3165631.9</v>
      </c>
      <c r="F18" s="350"/>
      <c r="G18" s="341">
        <f>SUM(D18:F18)</f>
        <v>3165631.9</v>
      </c>
      <c r="H18" s="352"/>
      <c r="I18" s="266">
        <f>G18+H18</f>
        <v>3165631.9</v>
      </c>
      <c r="J18" s="344"/>
      <c r="K18" s="353">
        <v>1200000</v>
      </c>
      <c r="L18" s="350"/>
      <c r="M18" s="341">
        <f>SUM(J18:L18)</f>
        <v>1200000</v>
      </c>
      <c r="N18" s="352">
        <v>0</v>
      </c>
      <c r="O18" s="266">
        <f>M18+N18</f>
        <v>1200000</v>
      </c>
      <c r="P18" s="344"/>
      <c r="Q18" s="353">
        <v>1769035.1</v>
      </c>
      <c r="R18" s="350"/>
      <c r="S18" s="341">
        <f>SUM(P18:R18)</f>
        <v>1769035.1</v>
      </c>
      <c r="T18" s="352">
        <v>0</v>
      </c>
      <c r="U18" s="266">
        <f>S18+T18</f>
        <v>1769035.1</v>
      </c>
      <c r="V18" s="344"/>
      <c r="W18" s="353">
        <v>1400000</v>
      </c>
      <c r="X18" s="350"/>
      <c r="Y18" s="341">
        <v>1400000</v>
      </c>
      <c r="Z18" s="352"/>
      <c r="AA18" s="266">
        <f>Y18+Z18</f>
        <v>1400000</v>
      </c>
      <c r="AB18" s="232">
        <f>(AA18/O18)</f>
        <v>1.1666666666666667</v>
      </c>
      <c r="AC18" s="178"/>
      <c r="AD18" s="178"/>
    </row>
    <row r="19" spans="1:30" x14ac:dyDescent="0.25">
      <c r="A19" s="180"/>
      <c r="B19" s="274" t="s">
        <v>80</v>
      </c>
      <c r="C19" s="280" t="s">
        <v>79</v>
      </c>
      <c r="D19" s="351"/>
      <c r="E19" s="350"/>
      <c r="F19" s="347">
        <v>1370512</v>
      </c>
      <c r="G19" s="341">
        <f>SUM(D19:F19)</f>
        <v>1370512</v>
      </c>
      <c r="H19" s="345"/>
      <c r="I19" s="266">
        <f>G19+H19</f>
        <v>1370512</v>
      </c>
      <c r="J19" s="351"/>
      <c r="K19" s="350"/>
      <c r="L19" s="347">
        <v>1400000</v>
      </c>
      <c r="M19" s="341">
        <f>SUM(J19:L19)</f>
        <v>1400000</v>
      </c>
      <c r="N19" s="345">
        <v>0</v>
      </c>
      <c r="O19" s="266">
        <f>M19+N19</f>
        <v>1400000</v>
      </c>
      <c r="P19" s="351"/>
      <c r="Q19" s="350"/>
      <c r="R19" s="347">
        <v>718035.4</v>
      </c>
      <c r="S19" s="341">
        <f>SUM(P19:R19)</f>
        <v>718035.4</v>
      </c>
      <c r="T19" s="345">
        <v>0</v>
      </c>
      <c r="U19" s="266">
        <f>S19+T19</f>
        <v>718035.4</v>
      </c>
      <c r="V19" s="351"/>
      <c r="W19" s="350"/>
      <c r="X19" s="347">
        <v>1500000</v>
      </c>
      <c r="Y19" s="341">
        <v>1500000</v>
      </c>
      <c r="Z19" s="345"/>
      <c r="AA19" s="266">
        <f>Y19+Z19</f>
        <v>1500000</v>
      </c>
      <c r="AB19" s="232">
        <f>(AA19/O19)</f>
        <v>1.0714285714285714</v>
      </c>
      <c r="AC19" s="178"/>
      <c r="AD19" s="178"/>
    </row>
    <row r="20" spans="1:30" x14ac:dyDescent="0.25">
      <c r="A20" s="180"/>
      <c r="B20" s="274" t="s">
        <v>78</v>
      </c>
      <c r="C20" s="346" t="s">
        <v>77</v>
      </c>
      <c r="D20" s="344"/>
      <c r="E20" s="343"/>
      <c r="F20" s="342"/>
      <c r="G20" s="341"/>
      <c r="H20" s="345"/>
      <c r="I20" s="266">
        <f>G20+H20</f>
        <v>0</v>
      </c>
      <c r="J20" s="344"/>
      <c r="K20" s="343"/>
      <c r="L20" s="342">
        <v>1500000</v>
      </c>
      <c r="M20" s="341">
        <f>SUM(J20:L20)</f>
        <v>1500000</v>
      </c>
      <c r="N20" s="345">
        <v>0</v>
      </c>
      <c r="O20" s="266">
        <f>M20+N20</f>
        <v>1500000</v>
      </c>
      <c r="P20" s="344"/>
      <c r="Q20" s="343"/>
      <c r="R20" s="342"/>
      <c r="S20" s="341">
        <f>SUM(P20:R20)</f>
        <v>0</v>
      </c>
      <c r="T20" s="345">
        <v>0</v>
      </c>
      <c r="U20" s="266">
        <f>S20+T20</f>
        <v>0</v>
      </c>
      <c r="V20" s="344"/>
      <c r="W20" s="343"/>
      <c r="X20" s="342">
        <v>1200000</v>
      </c>
      <c r="Y20" s="341">
        <v>1200000</v>
      </c>
      <c r="Z20" s="345"/>
      <c r="AA20" s="266">
        <f>Y20+Z20</f>
        <v>1200000</v>
      </c>
      <c r="AB20" s="232">
        <f>(AA20/O20)</f>
        <v>0.8</v>
      </c>
      <c r="AC20" s="178"/>
      <c r="AD20" s="178"/>
    </row>
    <row r="21" spans="1:30" x14ac:dyDescent="0.25">
      <c r="A21" s="180"/>
      <c r="B21" s="274" t="s">
        <v>76</v>
      </c>
      <c r="C21" s="273" t="s">
        <v>75</v>
      </c>
      <c r="D21" s="344"/>
      <c r="E21" s="343"/>
      <c r="F21" s="342">
        <v>1955598.8</v>
      </c>
      <c r="G21" s="341">
        <f>SUM(D21:F21)</f>
        <v>1955598.8</v>
      </c>
      <c r="H21" s="336">
        <v>557301.4</v>
      </c>
      <c r="I21" s="266">
        <f>G21+H21</f>
        <v>2512900.2000000002</v>
      </c>
      <c r="J21" s="344"/>
      <c r="K21" s="343"/>
      <c r="L21" s="342">
        <v>1930000</v>
      </c>
      <c r="M21" s="341">
        <f>SUM(J21:L21)</f>
        <v>1930000</v>
      </c>
      <c r="N21" s="336">
        <v>50000</v>
      </c>
      <c r="O21" s="266">
        <f>M21+N21</f>
        <v>1980000</v>
      </c>
      <c r="P21" s="344"/>
      <c r="Q21" s="343"/>
      <c r="R21" s="342">
        <v>1025084.7</v>
      </c>
      <c r="S21" s="341">
        <v>1025084.7</v>
      </c>
      <c r="T21" s="336">
        <v>426474.8</v>
      </c>
      <c r="U21" s="266">
        <f>S21+T21</f>
        <v>1451559.5</v>
      </c>
      <c r="V21" s="344"/>
      <c r="W21" s="343"/>
      <c r="X21" s="342">
        <v>2450000</v>
      </c>
      <c r="Y21" s="341">
        <v>2450000</v>
      </c>
      <c r="Z21" s="336">
        <v>100000</v>
      </c>
      <c r="AA21" s="266">
        <f>Y21+Z21</f>
        <v>2550000</v>
      </c>
      <c r="AB21" s="232">
        <f>(AA21/O21)</f>
        <v>1.2878787878787878</v>
      </c>
      <c r="AC21" s="178"/>
      <c r="AD21" s="178"/>
    </row>
    <row r="22" spans="1:30" x14ac:dyDescent="0.25">
      <c r="A22" s="180"/>
      <c r="B22" s="274" t="s">
        <v>74</v>
      </c>
      <c r="C22" s="273" t="s">
        <v>73</v>
      </c>
      <c r="D22" s="344"/>
      <c r="E22" s="343"/>
      <c r="F22" s="342"/>
      <c r="G22" s="341">
        <f>SUM(D22:F22)</f>
        <v>0</v>
      </c>
      <c r="H22" s="336"/>
      <c r="I22" s="266">
        <f>G22+H22</f>
        <v>0</v>
      </c>
      <c r="J22" s="344"/>
      <c r="K22" s="343"/>
      <c r="L22" s="342">
        <v>0</v>
      </c>
      <c r="M22" s="341">
        <v>0</v>
      </c>
      <c r="N22" s="336">
        <v>0</v>
      </c>
      <c r="O22" s="266">
        <f>M22+N22</f>
        <v>0</v>
      </c>
      <c r="P22" s="344"/>
      <c r="Q22" s="343"/>
      <c r="R22" s="342"/>
      <c r="S22" s="341">
        <f>SUM(P22:R22)</f>
        <v>0</v>
      </c>
      <c r="T22" s="336"/>
      <c r="U22" s="266">
        <f>S22+T22</f>
        <v>0</v>
      </c>
      <c r="V22" s="344"/>
      <c r="W22" s="343"/>
      <c r="X22" s="342"/>
      <c r="Y22" s="341">
        <f>SUM(V22:X22)</f>
        <v>0</v>
      </c>
      <c r="Z22" s="336"/>
      <c r="AA22" s="266">
        <f>Y22+Z22</f>
        <v>0</v>
      </c>
      <c r="AB22" s="232" t="e">
        <f>(AA22/O22)</f>
        <v>#DIV/0!</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v>0</v>
      </c>
      <c r="M23" s="330">
        <f>SUM(J23:L23)</f>
        <v>0</v>
      </c>
      <c r="N23" s="325">
        <v>0</v>
      </c>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42000000</v>
      </c>
      <c r="E24" s="322">
        <f>SUM(E15:E21)</f>
        <v>3165631.9</v>
      </c>
      <c r="F24" s="322">
        <f>SUM(F15:F21)</f>
        <v>26833301.400000002</v>
      </c>
      <c r="G24" s="321">
        <f>SUM(D24:F24)</f>
        <v>71998933.299999997</v>
      </c>
      <c r="H24" s="320">
        <f>SUM(H15:H21)</f>
        <v>6838691.2000000002</v>
      </c>
      <c r="I24" s="320">
        <f>SUM(I15:I21)</f>
        <v>78837624.500000015</v>
      </c>
      <c r="J24" s="323">
        <f>SUM(J15:J21)</f>
        <v>46000000</v>
      </c>
      <c r="K24" s="322">
        <f>SUM(K15:K21)</f>
        <v>1200000</v>
      </c>
      <c r="L24" s="322">
        <f>SUM(L15:L21)</f>
        <v>33900000</v>
      </c>
      <c r="M24" s="321">
        <f>SUM(J24:L24)</f>
        <v>81100000</v>
      </c>
      <c r="N24" s="320">
        <f>SUM(N15:N23)</f>
        <v>5000000</v>
      </c>
      <c r="O24" s="320">
        <f>SUM(O15:O21)</f>
        <v>86100000</v>
      </c>
      <c r="P24" s="323">
        <f>SUM(P15:P21)</f>
        <v>22540000</v>
      </c>
      <c r="Q24" s="322">
        <f>SUM(Q15:Q21)</f>
        <v>1769035.1</v>
      </c>
      <c r="R24" s="322">
        <f>SUM(R15:R21)</f>
        <v>10898944.4</v>
      </c>
      <c r="S24" s="321">
        <f>SUM(P24:R24)</f>
        <v>35207979.5</v>
      </c>
      <c r="T24" s="320">
        <f>SUM(T15:T21)</f>
        <v>3154096.9</v>
      </c>
      <c r="U24" s="320">
        <f>SUM(U15:U21)</f>
        <v>38362076.399999999</v>
      </c>
      <c r="V24" s="323">
        <f>SUM(V15:V21)</f>
        <v>47350000</v>
      </c>
      <c r="W24" s="322">
        <f>SUM(W15:W21)</f>
        <v>1400000</v>
      </c>
      <c r="X24" s="322">
        <f>SUM(X15:X23)</f>
        <v>35250000</v>
      </c>
      <c r="Y24" s="321">
        <f>SUM(Y15:Y23)</f>
        <v>84000000</v>
      </c>
      <c r="Z24" s="320">
        <f>SUM(Z15:Z21)</f>
        <v>5150000</v>
      </c>
      <c r="AA24" s="320">
        <f>SUM(AA15:AA21)</f>
        <v>89150000</v>
      </c>
      <c r="AB24" s="319">
        <f>(AA24/O24)</f>
        <v>1.0354239256678281</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3602635.3</v>
      </c>
      <c r="E28" s="287"/>
      <c r="F28" s="287">
        <v>2208066.9</v>
      </c>
      <c r="G28" s="286">
        <f>SUM(D28:F28)</f>
        <v>5810702.1999999993</v>
      </c>
      <c r="H28" s="286">
        <v>390607.6</v>
      </c>
      <c r="I28" s="285">
        <f>G28+H28</f>
        <v>6201309.7999999989</v>
      </c>
      <c r="J28" s="288">
        <v>3068800</v>
      </c>
      <c r="K28" s="287"/>
      <c r="L28" s="287">
        <v>2411200</v>
      </c>
      <c r="M28" s="286">
        <f>SUM(J28:L28)</f>
        <v>5480000</v>
      </c>
      <c r="N28" s="286">
        <v>100000</v>
      </c>
      <c r="O28" s="285">
        <f>M28+N28</f>
        <v>5580000</v>
      </c>
      <c r="P28" s="453">
        <v>1147892.78</v>
      </c>
      <c r="Q28" s="452"/>
      <c r="R28" s="452">
        <v>765261.86</v>
      </c>
      <c r="S28" s="451">
        <f>SUM(P28:R28)</f>
        <v>1913154.6400000001</v>
      </c>
      <c r="T28" s="451">
        <v>19606</v>
      </c>
      <c r="U28" s="450">
        <f>S28+T28</f>
        <v>1932760.6400000001</v>
      </c>
      <c r="V28" s="288">
        <v>3025000</v>
      </c>
      <c r="W28" s="287">
        <v>0</v>
      </c>
      <c r="X28" s="287">
        <v>2475000</v>
      </c>
      <c r="Y28" s="286">
        <v>5500000</v>
      </c>
      <c r="Z28" s="286">
        <v>100000</v>
      </c>
      <c r="AA28" s="285">
        <f>Y28+Z28</f>
        <v>5600000</v>
      </c>
      <c r="AB28" s="232">
        <f>(AA28/O28)</f>
        <v>1.0035842293906809</v>
      </c>
      <c r="AC28" s="178"/>
      <c r="AD28" s="178"/>
    </row>
    <row r="29" spans="1:30" x14ac:dyDescent="0.25">
      <c r="A29" s="180"/>
      <c r="B29" s="274" t="s">
        <v>56</v>
      </c>
      <c r="C29" s="284" t="s">
        <v>55</v>
      </c>
      <c r="D29" s="282">
        <v>5603073.7000000002</v>
      </c>
      <c r="E29" s="282">
        <v>2401317.4</v>
      </c>
      <c r="F29" s="282"/>
      <c r="G29" s="263">
        <f>SUM(D29:F29)</f>
        <v>8004391.0999999996</v>
      </c>
      <c r="H29" s="281">
        <v>1013910.6</v>
      </c>
      <c r="I29" s="266">
        <f>G29+H29</f>
        <v>9018301.6999999993</v>
      </c>
      <c r="J29" s="283">
        <v>4183692</v>
      </c>
      <c r="K29" s="282">
        <v>663908</v>
      </c>
      <c r="L29" s="282">
        <v>3612400</v>
      </c>
      <c r="M29" s="263">
        <f>SUM(J29:L29)</f>
        <v>8460000</v>
      </c>
      <c r="N29" s="281">
        <v>850000</v>
      </c>
      <c r="O29" s="266">
        <f>M29+N29</f>
        <v>9310000</v>
      </c>
      <c r="P29" s="449">
        <v>2651342.8199999998</v>
      </c>
      <c r="Q29" s="448">
        <v>1274167.5</v>
      </c>
      <c r="R29" s="448">
        <v>493394.38</v>
      </c>
      <c r="S29" s="445">
        <f>SUM(P29:R29)</f>
        <v>4418904.7</v>
      </c>
      <c r="T29" s="447">
        <v>144545.37</v>
      </c>
      <c r="U29" s="444">
        <f>S29+T29</f>
        <v>4563450.07</v>
      </c>
      <c r="V29" s="283">
        <v>5335000</v>
      </c>
      <c r="W29" s="282">
        <v>234000</v>
      </c>
      <c r="X29" s="282">
        <v>4131000</v>
      </c>
      <c r="Y29" s="263">
        <v>9700000</v>
      </c>
      <c r="Z29" s="281">
        <v>300000</v>
      </c>
      <c r="AA29" s="266">
        <f>Y29+Z29</f>
        <v>10000000</v>
      </c>
      <c r="AB29" s="232">
        <f>(AA29/O29)</f>
        <v>1.0741138560687433</v>
      </c>
      <c r="AC29" s="178"/>
      <c r="AD29" s="178"/>
    </row>
    <row r="30" spans="1:30" x14ac:dyDescent="0.25">
      <c r="A30" s="180"/>
      <c r="B30" s="274" t="s">
        <v>54</v>
      </c>
      <c r="C30" s="273" t="s">
        <v>53</v>
      </c>
      <c r="D30" s="267">
        <v>3590307.2</v>
      </c>
      <c r="E30" s="267"/>
      <c r="F30" s="267" t="s">
        <v>52</v>
      </c>
      <c r="G30" s="263">
        <v>3590307.2</v>
      </c>
      <c r="H30" s="263">
        <v>307098.8</v>
      </c>
      <c r="I30" s="266">
        <f>G30+H30</f>
        <v>3897406</v>
      </c>
      <c r="J30" s="268">
        <v>2206400</v>
      </c>
      <c r="K30" s="267"/>
      <c r="L30" s="267">
        <v>1733600</v>
      </c>
      <c r="M30" s="263">
        <f>SUM(J30:L30)</f>
        <v>3940000</v>
      </c>
      <c r="N30" s="263">
        <v>0</v>
      </c>
      <c r="O30" s="266">
        <f>M30+N30</f>
        <v>3940000</v>
      </c>
      <c r="P30" s="432">
        <v>1260310.3400000001</v>
      </c>
      <c r="Q30" s="433"/>
      <c r="R30" s="433">
        <v>860121.65</v>
      </c>
      <c r="S30" s="445">
        <f>SUM(P30:R30)</f>
        <v>2120431.9900000002</v>
      </c>
      <c r="T30" s="445">
        <v>0</v>
      </c>
      <c r="U30" s="444">
        <f>S30+T30</f>
        <v>2120431.9900000002</v>
      </c>
      <c r="V30" s="268">
        <v>3515000</v>
      </c>
      <c r="W30" s="267">
        <v>0</v>
      </c>
      <c r="X30" s="267">
        <v>2725000</v>
      </c>
      <c r="Y30" s="263">
        <v>6240000</v>
      </c>
      <c r="Z30" s="263">
        <v>0</v>
      </c>
      <c r="AA30" s="266">
        <f>Y30+Z30</f>
        <v>6240000</v>
      </c>
      <c r="AB30" s="232">
        <f>(AA30/O30)</f>
        <v>1.5837563451776651</v>
      </c>
      <c r="AC30" s="178"/>
      <c r="AD30" s="178"/>
    </row>
    <row r="31" spans="1:30" x14ac:dyDescent="0.25">
      <c r="A31" s="180"/>
      <c r="B31" s="274" t="s">
        <v>51</v>
      </c>
      <c r="C31" s="273" t="s">
        <v>50</v>
      </c>
      <c r="D31" s="267">
        <v>6819887.7999999998</v>
      </c>
      <c r="E31" s="267"/>
      <c r="F31" s="267">
        <v>1704972</v>
      </c>
      <c r="G31" s="263">
        <f>SUM(D31:F31)</f>
        <v>8524859.8000000007</v>
      </c>
      <c r="H31" s="263">
        <v>511799.4</v>
      </c>
      <c r="I31" s="266">
        <f>SUM(G31:H31)</f>
        <v>9036659.2000000011</v>
      </c>
      <c r="J31" s="268">
        <v>5262800</v>
      </c>
      <c r="K31" s="267"/>
      <c r="L31" s="267">
        <v>4017200</v>
      </c>
      <c r="M31" s="263">
        <f>SUM(J31:L31)</f>
        <v>9280000</v>
      </c>
      <c r="N31" s="263">
        <v>50000</v>
      </c>
      <c r="O31" s="266">
        <f>M31+N31</f>
        <v>9330000</v>
      </c>
      <c r="P31" s="432">
        <v>2180240.66</v>
      </c>
      <c r="Q31" s="433"/>
      <c r="R31" s="433">
        <v>1453493.77</v>
      </c>
      <c r="S31" s="445">
        <f>SUM(P31:R31)</f>
        <v>3633734.43</v>
      </c>
      <c r="T31" s="445">
        <v>28200.32</v>
      </c>
      <c r="U31" s="444">
        <f>S31+T31</f>
        <v>3661934.75</v>
      </c>
      <c r="V31" s="268">
        <v>5200000</v>
      </c>
      <c r="W31" s="267">
        <v>0</v>
      </c>
      <c r="X31" s="267">
        <v>4080000</v>
      </c>
      <c r="Y31" s="263">
        <v>9280000</v>
      </c>
      <c r="Z31" s="263">
        <v>100000</v>
      </c>
      <c r="AA31" s="266">
        <f>Y31+Z31</f>
        <v>9380000</v>
      </c>
      <c r="AB31" s="232">
        <f>(AA31/O31)</f>
        <v>1.0053590568060022</v>
      </c>
      <c r="AC31" s="178"/>
      <c r="AD31" s="178"/>
    </row>
    <row r="32" spans="1:30" x14ac:dyDescent="0.25">
      <c r="A32" s="180"/>
      <c r="B32" s="274" t="s">
        <v>49</v>
      </c>
      <c r="C32" s="273" t="s">
        <v>48</v>
      </c>
      <c r="D32" s="267">
        <v>12897460.199999999</v>
      </c>
      <c r="E32" s="267">
        <v>257949.2</v>
      </c>
      <c r="F32" s="267">
        <v>12639510.800000001</v>
      </c>
      <c r="G32" s="263">
        <f>SUM(D32:F32)</f>
        <v>25794920.199999999</v>
      </c>
      <c r="H32" s="263">
        <v>1029731.8</v>
      </c>
      <c r="I32" s="266">
        <f>SUM(G32:H32)</f>
        <v>26824652</v>
      </c>
      <c r="J32" s="268">
        <v>15590800</v>
      </c>
      <c r="K32" s="267">
        <v>100000</v>
      </c>
      <c r="L32" s="267">
        <v>14739200</v>
      </c>
      <c r="M32" s="263">
        <f>SUM(J32:L32)</f>
        <v>30430000</v>
      </c>
      <c r="N32" s="263">
        <v>1160000</v>
      </c>
      <c r="O32" s="266">
        <f>M32+N32</f>
        <v>31590000</v>
      </c>
      <c r="P32" s="432">
        <v>7351870.5999999996</v>
      </c>
      <c r="Q32" s="433">
        <v>272491</v>
      </c>
      <c r="R32" s="433">
        <v>4628756.2</v>
      </c>
      <c r="S32" s="445">
        <f>SUM(P32:R32)</f>
        <v>12253117.800000001</v>
      </c>
      <c r="T32" s="445">
        <v>286448</v>
      </c>
      <c r="U32" s="444">
        <f>S32+T32</f>
        <v>12539565.800000001</v>
      </c>
      <c r="V32" s="446">
        <v>16500000</v>
      </c>
      <c r="W32" s="267">
        <v>300000</v>
      </c>
      <c r="X32" s="267">
        <v>14960000</v>
      </c>
      <c r="Y32" s="263">
        <v>31760000</v>
      </c>
      <c r="Z32" s="263">
        <v>1200000</v>
      </c>
      <c r="AA32" s="266">
        <f>Y32+Z32</f>
        <v>32960000</v>
      </c>
      <c r="AB32" s="232">
        <f>(AA32/O32)</f>
        <v>1.0433681544792657</v>
      </c>
      <c r="AC32" s="178"/>
      <c r="AD32" s="178"/>
    </row>
    <row r="33" spans="1:30" x14ac:dyDescent="0.25">
      <c r="A33" s="180"/>
      <c r="B33" s="274" t="s">
        <v>47</v>
      </c>
      <c r="C33" s="280" t="s">
        <v>46</v>
      </c>
      <c r="D33" s="267">
        <v>12897460.199999999</v>
      </c>
      <c r="E33" s="267">
        <v>257949.2</v>
      </c>
      <c r="F33" s="267">
        <v>12639510.800000001</v>
      </c>
      <c r="G33" s="263">
        <f>SUM(D33:F33)</f>
        <v>25794920.199999999</v>
      </c>
      <c r="H33" s="263">
        <v>923681.8</v>
      </c>
      <c r="I33" s="266">
        <f>G33+H33</f>
        <v>26718602</v>
      </c>
      <c r="J33" s="268">
        <v>14013280</v>
      </c>
      <c r="K33" s="267">
        <v>100000</v>
      </c>
      <c r="L33" s="267">
        <v>12874720</v>
      </c>
      <c r="M33" s="263">
        <f>SUM(J33:L33)</f>
        <v>26988000</v>
      </c>
      <c r="N33" s="263">
        <v>870000</v>
      </c>
      <c r="O33" s="266">
        <f>M33+N33</f>
        <v>27858000</v>
      </c>
      <c r="P33" s="432">
        <v>6764425.2000000002</v>
      </c>
      <c r="Q33" s="433">
        <v>272491</v>
      </c>
      <c r="R33" s="433">
        <v>4237125.8</v>
      </c>
      <c r="S33" s="445">
        <f>SUM(P33:R33)</f>
        <v>11274042</v>
      </c>
      <c r="T33" s="445">
        <v>243798</v>
      </c>
      <c r="U33" s="444">
        <f>S33+T33</f>
        <v>11517840</v>
      </c>
      <c r="V33" s="446">
        <v>14300000</v>
      </c>
      <c r="W33" s="267">
        <v>300000</v>
      </c>
      <c r="X33" s="267">
        <v>13360000</v>
      </c>
      <c r="Y33" s="263">
        <v>27960000</v>
      </c>
      <c r="Z33" s="263">
        <v>900000</v>
      </c>
      <c r="AA33" s="266">
        <f>Y33+Z33</f>
        <v>28860000</v>
      </c>
      <c r="AB33" s="232">
        <f>(AA33/O33)</f>
        <v>1.0359681240577212</v>
      </c>
      <c r="AC33" s="178"/>
      <c r="AD33" s="178"/>
    </row>
    <row r="34" spans="1:30" x14ac:dyDescent="0.25">
      <c r="A34" s="180"/>
      <c r="B34" s="274" t="s">
        <v>45</v>
      </c>
      <c r="C34" s="278" t="s">
        <v>44</v>
      </c>
      <c r="D34" s="277" t="s">
        <v>52</v>
      </c>
      <c r="E34" s="267"/>
      <c r="F34" s="267">
        <v>4129820</v>
      </c>
      <c r="G34" s="263">
        <v>4129820</v>
      </c>
      <c r="H34" s="263">
        <v>106050</v>
      </c>
      <c r="I34" s="266">
        <f>G34+H34</f>
        <v>4235870</v>
      </c>
      <c r="J34" s="268">
        <v>1577520</v>
      </c>
      <c r="K34" s="267"/>
      <c r="L34" s="267">
        <v>1864480</v>
      </c>
      <c r="M34" s="263">
        <f>SUM(J34:L34)</f>
        <v>3442000</v>
      </c>
      <c r="N34" s="263">
        <v>290000</v>
      </c>
      <c r="O34" s="266">
        <f>M34+N34</f>
        <v>3732000</v>
      </c>
      <c r="P34" s="432">
        <v>587445.6</v>
      </c>
      <c r="Q34" s="433"/>
      <c r="R34" s="433">
        <v>391630.4</v>
      </c>
      <c r="S34" s="445">
        <f>SUM(P34:R34)</f>
        <v>979076</v>
      </c>
      <c r="T34" s="445">
        <v>42650</v>
      </c>
      <c r="U34" s="444">
        <f>S34+T34</f>
        <v>1021726</v>
      </c>
      <c r="V34" s="446">
        <v>1938000</v>
      </c>
      <c r="W34" s="267">
        <v>0</v>
      </c>
      <c r="X34" s="267">
        <v>1862000</v>
      </c>
      <c r="Y34" s="263">
        <v>3800000</v>
      </c>
      <c r="Z34" s="263">
        <v>300000</v>
      </c>
      <c r="AA34" s="266">
        <f>Y34+Z34</f>
        <v>4100000</v>
      </c>
      <c r="AB34" s="232">
        <f>(AA34/O34)</f>
        <v>1.0986066452304395</v>
      </c>
      <c r="AC34" s="178"/>
      <c r="AD34" s="178"/>
    </row>
    <row r="35" spans="1:30" x14ac:dyDescent="0.25">
      <c r="A35" s="180"/>
      <c r="B35" s="274" t="s">
        <v>43</v>
      </c>
      <c r="C35" s="273" t="s">
        <v>42</v>
      </c>
      <c r="D35" s="267">
        <v>3972393.2</v>
      </c>
      <c r="E35" s="267"/>
      <c r="F35" s="267">
        <v>3972393.1</v>
      </c>
      <c r="G35" s="263">
        <f>SUM(D35:F35)</f>
        <v>7944786.3000000007</v>
      </c>
      <c r="H35" s="263">
        <v>327140.7</v>
      </c>
      <c r="I35" s="266">
        <f>G35+H35</f>
        <v>8271927.0000000009</v>
      </c>
      <c r="J35" s="268">
        <v>5373200</v>
      </c>
      <c r="K35" s="267"/>
      <c r="L35" s="267">
        <v>4221800</v>
      </c>
      <c r="M35" s="263">
        <f>SUM(J35:L35)</f>
        <v>9595000</v>
      </c>
      <c r="N35" s="263">
        <v>295000</v>
      </c>
      <c r="O35" s="266">
        <f>M35+N35</f>
        <v>9890000</v>
      </c>
      <c r="P35" s="432">
        <v>2322869.7200000002</v>
      </c>
      <c r="Q35" s="433"/>
      <c r="R35" s="433">
        <v>1548579.81</v>
      </c>
      <c r="S35" s="445">
        <f>SUM(P35:R35)</f>
        <v>3871449.5300000003</v>
      </c>
      <c r="T35" s="445">
        <v>82404.899999999994</v>
      </c>
      <c r="U35" s="444">
        <f>S35+T35</f>
        <v>3953854.43</v>
      </c>
      <c r="V35" s="446">
        <v>5100000</v>
      </c>
      <c r="W35" s="267">
        <v>0</v>
      </c>
      <c r="X35" s="267">
        <v>5030000</v>
      </c>
      <c r="Y35" s="263">
        <v>10130000</v>
      </c>
      <c r="Z35" s="263">
        <v>300000</v>
      </c>
      <c r="AA35" s="266">
        <f>Y35+Z35</f>
        <v>10430000</v>
      </c>
      <c r="AB35" s="232">
        <f>(AA35/O35)</f>
        <v>1.0546006066734075</v>
      </c>
      <c r="AC35" s="178"/>
      <c r="AD35" s="178"/>
    </row>
    <row r="36" spans="1:30" x14ac:dyDescent="0.25">
      <c r="A36" s="180"/>
      <c r="B36" s="274" t="s">
        <v>41</v>
      </c>
      <c r="C36" s="273" t="s">
        <v>40</v>
      </c>
      <c r="D36" s="267">
        <v>19822.7</v>
      </c>
      <c r="E36" s="267"/>
      <c r="F36" s="267"/>
      <c r="G36" s="263">
        <v>19822.7</v>
      </c>
      <c r="H36" s="263">
        <v>0</v>
      </c>
      <c r="I36" s="266">
        <f>G36+H36</f>
        <v>19822.7</v>
      </c>
      <c r="J36" s="268">
        <v>33600</v>
      </c>
      <c r="K36" s="267"/>
      <c r="L36" s="267">
        <v>26400</v>
      </c>
      <c r="M36" s="263">
        <f>SUM(J36:L36)</f>
        <v>60000</v>
      </c>
      <c r="N36" s="263">
        <v>0</v>
      </c>
      <c r="O36" s="266">
        <f>M36+N36</f>
        <v>60000</v>
      </c>
      <c r="P36" s="432">
        <v>12001</v>
      </c>
      <c r="Q36" s="433"/>
      <c r="R36" s="433">
        <v>0</v>
      </c>
      <c r="S36" s="445">
        <f>SUM(P36:R36)</f>
        <v>12001</v>
      </c>
      <c r="T36" s="445">
        <v>0</v>
      </c>
      <c r="U36" s="444">
        <f>S36+T36</f>
        <v>12001</v>
      </c>
      <c r="V36" s="268">
        <v>35000</v>
      </c>
      <c r="W36" s="267">
        <v>0</v>
      </c>
      <c r="X36" s="267">
        <v>15000</v>
      </c>
      <c r="Y36" s="263">
        <v>50000</v>
      </c>
      <c r="Z36" s="263">
        <v>0</v>
      </c>
      <c r="AA36" s="266">
        <f>Y36+Z36</f>
        <v>50000</v>
      </c>
      <c r="AB36" s="232">
        <f>(AA36/O36)</f>
        <v>0.83333333333333337</v>
      </c>
      <c r="AC36" s="178"/>
      <c r="AD36" s="178"/>
    </row>
    <row r="37" spans="1:30" x14ac:dyDescent="0.25">
      <c r="A37" s="180"/>
      <c r="B37" s="274" t="s">
        <v>39</v>
      </c>
      <c r="C37" s="273" t="s">
        <v>38</v>
      </c>
      <c r="D37" s="267">
        <v>6647591.2999999998</v>
      </c>
      <c r="E37" s="267"/>
      <c r="F37" s="267">
        <v>1370512</v>
      </c>
      <c r="G37" s="263">
        <v>8018103.2999999998</v>
      </c>
      <c r="H37" s="263">
        <v>937453</v>
      </c>
      <c r="I37" s="266">
        <f>G37+H37</f>
        <v>8955556.3000000007</v>
      </c>
      <c r="J37" s="268">
        <v>9150000</v>
      </c>
      <c r="K37" s="267"/>
      <c r="L37" s="267">
        <v>1400000</v>
      </c>
      <c r="M37" s="263">
        <f>SUM(J37:L37)</f>
        <v>10550000</v>
      </c>
      <c r="N37" s="263">
        <v>0</v>
      </c>
      <c r="O37" s="266">
        <f>M37+N37</f>
        <v>10550000</v>
      </c>
      <c r="P37" s="432">
        <v>3453008.07</v>
      </c>
      <c r="Q37" s="433"/>
      <c r="R37" s="433">
        <v>718035.4</v>
      </c>
      <c r="S37" s="445">
        <f>SUM(P37:R37)</f>
        <v>4171043.4699999997</v>
      </c>
      <c r="T37" s="445">
        <v>599715</v>
      </c>
      <c r="U37" s="444">
        <f>S37+T37</f>
        <v>4770758.47</v>
      </c>
      <c r="V37" s="268">
        <v>8160000</v>
      </c>
      <c r="W37" s="267">
        <v>0</v>
      </c>
      <c r="X37" s="267">
        <v>1500000</v>
      </c>
      <c r="Y37" s="263">
        <v>9660000</v>
      </c>
      <c r="Z37" s="263">
        <v>1100000</v>
      </c>
      <c r="AA37" s="266">
        <f>Y37+Z37</f>
        <v>10760000</v>
      </c>
      <c r="AB37" s="232">
        <f>(AA37/O37)</f>
        <v>1.0199052132701423</v>
      </c>
      <c r="AC37" s="178"/>
      <c r="AD37" s="178"/>
    </row>
    <row r="38" spans="1:30" ht="15.75" thickBot="1" x14ac:dyDescent="0.3">
      <c r="A38" s="180"/>
      <c r="B38" s="265" t="s">
        <v>37</v>
      </c>
      <c r="C38" s="264" t="s">
        <v>36</v>
      </c>
      <c r="D38" s="257">
        <v>438959.7</v>
      </c>
      <c r="E38" s="257">
        <v>506365.3</v>
      </c>
      <c r="F38" s="257">
        <v>3444272.3</v>
      </c>
      <c r="G38" s="263">
        <f>SUM(D38:F38)</f>
        <v>4389597.3</v>
      </c>
      <c r="H38" s="256">
        <v>2087687.2</v>
      </c>
      <c r="I38" s="255">
        <f>G38+H38</f>
        <v>6477284.5</v>
      </c>
      <c r="J38" s="258">
        <v>1130708</v>
      </c>
      <c r="K38" s="257">
        <v>436092</v>
      </c>
      <c r="L38" s="257">
        <v>2353200</v>
      </c>
      <c r="M38" s="256">
        <f>SUM(J38:L38)</f>
        <v>3920000</v>
      </c>
      <c r="N38" s="256">
        <v>1930000</v>
      </c>
      <c r="O38" s="255">
        <f>M38+N38</f>
        <v>5850000</v>
      </c>
      <c r="P38" s="443">
        <v>631838</v>
      </c>
      <c r="Q38" s="431">
        <v>63278</v>
      </c>
      <c r="R38" s="431">
        <v>357946.66</v>
      </c>
      <c r="S38" s="442">
        <f>SUM(P38:R38)</f>
        <v>1053062.6599999999</v>
      </c>
      <c r="T38" s="442">
        <v>647322.28</v>
      </c>
      <c r="U38" s="441">
        <f>S38+T38</f>
        <v>1700384.94</v>
      </c>
      <c r="V38" s="258">
        <v>480000</v>
      </c>
      <c r="W38" s="257">
        <v>866000</v>
      </c>
      <c r="X38" s="257">
        <v>1054000</v>
      </c>
      <c r="Y38" s="256">
        <v>2400000</v>
      </c>
      <c r="Z38" s="256">
        <v>1330000</v>
      </c>
      <c r="AA38" s="255">
        <f>Y38+Z38</f>
        <v>3730000</v>
      </c>
      <c r="AB38" s="254">
        <f>(AA38/O38)</f>
        <v>0.63760683760683756</v>
      </c>
      <c r="AC38" s="178"/>
      <c r="AD38" s="178"/>
    </row>
    <row r="39" spans="1:30" ht="15.75" thickBot="1" x14ac:dyDescent="0.3">
      <c r="A39" s="180"/>
      <c r="B39" s="253" t="s">
        <v>35</v>
      </c>
      <c r="C39" s="252" t="s">
        <v>34</v>
      </c>
      <c r="D39" s="251">
        <f>SUM(D35:D38)+SUM(D28:D32)</f>
        <v>43592131.099999994</v>
      </c>
      <c r="E39" s="251">
        <f>SUM(E35:E38)+SUM(E28:E32)</f>
        <v>3165631.9</v>
      </c>
      <c r="F39" s="251">
        <f>SUM(F35:F38)+SUM(F28:F32)</f>
        <v>25339727.100000001</v>
      </c>
      <c r="G39" s="250">
        <v>72097490</v>
      </c>
      <c r="H39" s="249">
        <f>SUM(H28:H32)+SUM(H35:H38)</f>
        <v>6605429.0999999996</v>
      </c>
      <c r="I39" s="248">
        <f>SUM(I35:I38)+SUM(I28:I32)</f>
        <v>78702919.200000003</v>
      </c>
      <c r="J39" s="251">
        <f>SUM(J35:J38)+SUM(J28:J32)</f>
        <v>46000000</v>
      </c>
      <c r="K39" s="251">
        <f>SUM(K35:K38)+SUM(K28:K32)</f>
        <v>1200000</v>
      </c>
      <c r="L39" s="251">
        <f>SUM(L35:L38)+SUM(L28:L32)</f>
        <v>34515000</v>
      </c>
      <c r="M39" s="250">
        <f>SUM(J39:L39)</f>
        <v>81715000</v>
      </c>
      <c r="N39" s="249">
        <f>SUM(N28:N32)+SUM(N35:N38)</f>
        <v>4385000</v>
      </c>
      <c r="O39" s="248">
        <f>SUM(O35:O38)+SUM(O28:O32)</f>
        <v>86100000</v>
      </c>
      <c r="P39" s="251">
        <f>SUM(P35:P38)+SUM(P28:P32)</f>
        <v>21011373.989999998</v>
      </c>
      <c r="Q39" s="251">
        <f>SUM(Q35:Q38)+SUM(Q28:Q32)</f>
        <v>1609936.5</v>
      </c>
      <c r="R39" s="251">
        <f>SUM(R35:R38)+SUM(R28:R32)</f>
        <v>10825589.73</v>
      </c>
      <c r="S39" s="250">
        <f>SUM(P39:R39)</f>
        <v>33446900.219999999</v>
      </c>
      <c r="T39" s="249">
        <f>SUM(T28:T32)+SUM(T35:T38)</f>
        <v>1808241.87</v>
      </c>
      <c r="U39" s="248">
        <f>SUM(U35:U38)+SUM(U28:U32)</f>
        <v>35255142.090000004</v>
      </c>
      <c r="V39" s="251">
        <f>SUM(V35:V38)+SUM(V28:V32)</f>
        <v>47350000</v>
      </c>
      <c r="W39" s="251">
        <v>1400000</v>
      </c>
      <c r="X39" s="251">
        <v>35970000</v>
      </c>
      <c r="Y39" s="250">
        <v>84720000</v>
      </c>
      <c r="Z39" s="249">
        <f>SUM(Z28:Z32)+SUM(Z35:Z38)</f>
        <v>4430000</v>
      </c>
      <c r="AA39" s="248">
        <f>SUM(AA35:AA38)+SUM(AA28:AA32)</f>
        <v>89150000</v>
      </c>
      <c r="AB39" s="247">
        <f>(AA39/O39)</f>
        <v>1.0354239256678281</v>
      </c>
      <c r="AC39" s="178"/>
      <c r="AD39" s="178"/>
    </row>
    <row r="40" spans="1:30" ht="19.5" thickBot="1" x14ac:dyDescent="0.35">
      <c r="A40" s="180"/>
      <c r="B40" s="246" t="s">
        <v>33</v>
      </c>
      <c r="C40" s="245" t="s">
        <v>32</v>
      </c>
      <c r="D40" s="244">
        <f>D24-D39</f>
        <v>-1592131.099999994</v>
      </c>
      <c r="E40" s="244">
        <f>E24-E39</f>
        <v>0</v>
      </c>
      <c r="F40" s="244">
        <f>F24-F39</f>
        <v>1493574.3000000007</v>
      </c>
      <c r="G40" s="243">
        <f>G24-G39</f>
        <v>-98556.70000000298</v>
      </c>
      <c r="H40" s="243">
        <f>H24-H39</f>
        <v>233262.10000000056</v>
      </c>
      <c r="I40" s="242">
        <f>I24-I39</f>
        <v>134705.30000001192</v>
      </c>
      <c r="J40" s="244">
        <f>J24-J39</f>
        <v>0</v>
      </c>
      <c r="K40" s="244">
        <f>K24-K39</f>
        <v>0</v>
      </c>
      <c r="L40" s="244">
        <f>L24-L39</f>
        <v>-615000</v>
      </c>
      <c r="M40" s="243">
        <f>M24-M39</f>
        <v>-615000</v>
      </c>
      <c r="N40" s="243">
        <f>N24-N39</f>
        <v>615000</v>
      </c>
      <c r="O40" s="242">
        <f>O24-O39</f>
        <v>0</v>
      </c>
      <c r="P40" s="244">
        <f>P24-P39</f>
        <v>1528626.0100000016</v>
      </c>
      <c r="Q40" s="244">
        <f>Q24-Q39</f>
        <v>159098.60000000009</v>
      </c>
      <c r="R40" s="244">
        <f>R24-R39</f>
        <v>73354.669999999925</v>
      </c>
      <c r="S40" s="243">
        <f>S24-S39</f>
        <v>1761079.2800000012</v>
      </c>
      <c r="T40" s="243">
        <f>T24-T39</f>
        <v>1345855.0299999998</v>
      </c>
      <c r="U40" s="242">
        <f>U24-U39</f>
        <v>3106934.3099999949</v>
      </c>
      <c r="V40" s="244">
        <f>V24-V39</f>
        <v>0</v>
      </c>
      <c r="W40" s="244">
        <f>W24-W39</f>
        <v>0</v>
      </c>
      <c r="X40" s="244">
        <f>X24-X39</f>
        <v>-720000</v>
      </c>
      <c r="Y40" s="243">
        <f>Y24-Y39</f>
        <v>-720000</v>
      </c>
      <c r="Z40" s="243">
        <f>Z24-Z39</f>
        <v>720000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-41865294.699999988</v>
      </c>
      <c r="J41" s="237"/>
      <c r="K41" s="236"/>
      <c r="L41" s="236"/>
      <c r="M41" s="235"/>
      <c r="N41" s="234"/>
      <c r="O41" s="233">
        <f>O40-J16</f>
        <v>-46000000</v>
      </c>
      <c r="P41" s="237"/>
      <c r="Q41" s="236"/>
      <c r="R41" s="236"/>
      <c r="S41" s="235"/>
      <c r="T41" s="234"/>
      <c r="U41" s="233">
        <f>U40-P16</f>
        <v>-19433065.690000005</v>
      </c>
      <c r="V41" s="237"/>
      <c r="W41" s="236"/>
      <c r="X41" s="236"/>
      <c r="Y41" s="235"/>
      <c r="Z41" s="234"/>
      <c r="AA41" s="233">
        <f>AA40-V16</f>
        <v>-47350000</v>
      </c>
      <c r="AB41" s="232">
        <f>(AA41/O41)</f>
        <v>1.0293478260869566</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c r="E44" s="225"/>
      <c r="F44" s="224">
        <v>0</v>
      </c>
      <c r="G44" s="202"/>
      <c r="H44" s="202"/>
      <c r="I44" s="201"/>
      <c r="J44" s="214"/>
      <c r="K44" s="225"/>
      <c r="L44" s="224">
        <v>0</v>
      </c>
      <c r="M44" s="223"/>
      <c r="N44" s="223"/>
      <c r="O44" s="223"/>
      <c r="P44" s="214">
        <v>2000000</v>
      </c>
      <c r="Q44" s="225"/>
      <c r="R44" s="224">
        <v>2000000</v>
      </c>
      <c r="S44" s="178"/>
      <c r="T44" s="178"/>
      <c r="U44" s="178"/>
      <c r="V44" s="214"/>
      <c r="W44" s="225"/>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3193860.5</v>
      </c>
      <c r="E47" s="213">
        <v>0</v>
      </c>
      <c r="F47" s="202"/>
      <c r="G47" s="202"/>
      <c r="H47" s="202"/>
      <c r="I47" s="201"/>
      <c r="J47" s="214">
        <v>0</v>
      </c>
      <c r="K47" s="213">
        <v>0</v>
      </c>
      <c r="L47" s="215"/>
      <c r="M47" s="215"/>
      <c r="N47" s="178"/>
      <c r="O47" s="178"/>
      <c r="P47" s="214">
        <v>1800000</v>
      </c>
      <c r="Q47" s="213">
        <v>0</v>
      </c>
      <c r="R47" s="178"/>
      <c r="S47" s="178"/>
      <c r="T47" s="178"/>
      <c r="U47" s="178"/>
      <c r="V47" s="214">
        <v>5000000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v>4770740.5</v>
      </c>
      <c r="E50" s="210">
        <v>21458337.800000001</v>
      </c>
      <c r="F50" s="210">
        <v>11026197.9</v>
      </c>
      <c r="G50" s="209">
        <f>D50+E50-F50</f>
        <v>15202880.4</v>
      </c>
      <c r="H50" s="202"/>
      <c r="I50" s="178"/>
      <c r="J50" s="210">
        <v>9128945</v>
      </c>
      <c r="K50" s="210">
        <v>14025000</v>
      </c>
      <c r="L50" s="210">
        <v>19991779</v>
      </c>
      <c r="M50" s="209">
        <f>J50+K50-L50</f>
        <v>3162166</v>
      </c>
      <c r="N50" s="178"/>
      <c r="O50" s="178"/>
      <c r="P50" s="210">
        <v>15202880.4</v>
      </c>
      <c r="Q50" s="210">
        <v>7371837.5</v>
      </c>
      <c r="R50" s="210">
        <v>5773921.4000000004</v>
      </c>
      <c r="S50" s="209">
        <f>P50+Q50-R50</f>
        <v>16800796.5</v>
      </c>
      <c r="T50" s="178"/>
      <c r="U50" s="178"/>
      <c r="V50" s="210">
        <v>168000369</v>
      </c>
      <c r="W50" s="210">
        <v>10980000</v>
      </c>
      <c r="X50" s="210">
        <v>9540000</v>
      </c>
      <c r="Y50" s="209">
        <v>18240369</v>
      </c>
      <c r="Z50" s="178"/>
      <c r="AA50" s="178"/>
      <c r="AB50" s="178"/>
      <c r="AC50" s="178"/>
      <c r="AD50" s="178"/>
    </row>
    <row r="51" spans="1:30" x14ac:dyDescent="0.25">
      <c r="A51" s="180"/>
      <c r="B51" s="204"/>
      <c r="C51" s="206" t="s">
        <v>15</v>
      </c>
      <c r="D51" s="210">
        <v>739436.2</v>
      </c>
      <c r="E51" s="210">
        <v>2403701.7999999998</v>
      </c>
      <c r="F51" s="210">
        <v>1000000</v>
      </c>
      <c r="G51" s="209">
        <f>D51+E51-F51</f>
        <v>2143138</v>
      </c>
      <c r="H51" s="202"/>
      <c r="I51" s="178"/>
      <c r="J51" s="210">
        <v>1425803.7</v>
      </c>
      <c r="K51" s="210">
        <v>300000</v>
      </c>
      <c r="L51" s="210">
        <v>1500000</v>
      </c>
      <c r="M51" s="209">
        <f>J51+K51-L51</f>
        <v>225803.69999999995</v>
      </c>
      <c r="N51" s="178"/>
      <c r="O51" s="178"/>
      <c r="P51" s="210">
        <v>2143138</v>
      </c>
      <c r="Q51" s="210">
        <v>1288757.5</v>
      </c>
      <c r="R51" s="210">
        <v>0</v>
      </c>
      <c r="S51" s="209">
        <f>P51+Q51-R51</f>
        <v>3431895.5</v>
      </c>
      <c r="T51" s="178"/>
      <c r="U51" s="178"/>
      <c r="V51" s="210">
        <v>3431895</v>
      </c>
      <c r="W51" s="210">
        <v>1200000</v>
      </c>
      <c r="X51" s="210">
        <v>0</v>
      </c>
      <c r="Y51" s="209">
        <f>V51+W51-X51</f>
        <v>4631895</v>
      </c>
      <c r="Z51" s="178"/>
      <c r="AA51" s="178"/>
      <c r="AB51" s="178"/>
      <c r="AC51" s="178"/>
      <c r="AD51" s="178"/>
    </row>
    <row r="52" spans="1:30" x14ac:dyDescent="0.25">
      <c r="A52" s="180"/>
      <c r="B52" s="204"/>
      <c r="C52" s="206" t="s">
        <v>14</v>
      </c>
      <c r="D52" s="210">
        <v>3252744</v>
      </c>
      <c r="E52" s="210">
        <v>18145098.699999999</v>
      </c>
      <c r="F52" s="210">
        <v>9603400.5</v>
      </c>
      <c r="G52" s="209">
        <f>D52+E52-F52</f>
        <v>11794442.199999999</v>
      </c>
      <c r="H52" s="202"/>
      <c r="I52" s="178"/>
      <c r="J52" s="210">
        <v>6150721.5</v>
      </c>
      <c r="K52" s="210">
        <v>13200000</v>
      </c>
      <c r="L52" s="210">
        <v>17948779</v>
      </c>
      <c r="M52" s="209">
        <f>J52+K52-L52</f>
        <v>1401942.5</v>
      </c>
      <c r="N52" s="178"/>
      <c r="O52" s="178"/>
      <c r="P52" s="210">
        <v>11794442.199999999</v>
      </c>
      <c r="Q52" s="210">
        <v>5852723.0999999996</v>
      </c>
      <c r="R52" s="210">
        <v>5550738.4000000004</v>
      </c>
      <c r="S52" s="209">
        <f>P52+Q52-R52</f>
        <v>12096426.899999997</v>
      </c>
      <c r="T52" s="178"/>
      <c r="U52" s="178"/>
      <c r="V52" s="210">
        <v>12096000</v>
      </c>
      <c r="W52" s="210">
        <v>9260000</v>
      </c>
      <c r="X52" s="210">
        <v>9000000</v>
      </c>
      <c r="Y52" s="209">
        <f>V52+W52-X52</f>
        <v>12356000</v>
      </c>
      <c r="Z52" s="178"/>
      <c r="AA52" s="178"/>
      <c r="AB52" s="178"/>
      <c r="AC52" s="178"/>
      <c r="AD52" s="178"/>
    </row>
    <row r="53" spans="1:30" x14ac:dyDescent="0.25">
      <c r="A53" s="180"/>
      <c r="B53" s="204"/>
      <c r="C53" s="206" t="s">
        <v>13</v>
      </c>
      <c r="D53" s="210">
        <v>146011</v>
      </c>
      <c r="E53" s="210">
        <v>453989</v>
      </c>
      <c r="F53" s="210">
        <v>0</v>
      </c>
      <c r="G53" s="209">
        <f>D53+E53-F53</f>
        <v>600000</v>
      </c>
      <c r="H53" s="202"/>
      <c r="I53" s="178"/>
      <c r="J53" s="210">
        <v>600000</v>
      </c>
      <c r="K53" s="210">
        <v>0</v>
      </c>
      <c r="L53" s="210">
        <v>0</v>
      </c>
      <c r="M53" s="209">
        <f>J53+K53-L53</f>
        <v>600000</v>
      </c>
      <c r="N53" s="178"/>
      <c r="O53" s="178"/>
      <c r="P53" s="210">
        <v>600000</v>
      </c>
      <c r="Q53" s="210">
        <v>0</v>
      </c>
      <c r="R53" s="210">
        <v>0</v>
      </c>
      <c r="S53" s="209">
        <f>P53+Q53-R53</f>
        <v>600000</v>
      </c>
      <c r="T53" s="178"/>
      <c r="U53" s="178"/>
      <c r="V53" s="210">
        <v>600000</v>
      </c>
      <c r="W53" s="210">
        <v>0</v>
      </c>
      <c r="X53" s="210">
        <v>0</v>
      </c>
      <c r="Y53" s="209">
        <f>V53+W53-X53</f>
        <v>600000</v>
      </c>
      <c r="Z53" s="178"/>
      <c r="AA53" s="178"/>
      <c r="AB53" s="178"/>
      <c r="AC53" s="178"/>
      <c r="AD53" s="178"/>
    </row>
    <row r="54" spans="1:30" x14ac:dyDescent="0.25">
      <c r="A54" s="180"/>
      <c r="B54" s="204"/>
      <c r="C54" s="212" t="s">
        <v>12</v>
      </c>
      <c r="D54" s="210">
        <v>632549.30000000005</v>
      </c>
      <c r="E54" s="210">
        <v>455548.3</v>
      </c>
      <c r="F54" s="210">
        <v>422797.4</v>
      </c>
      <c r="G54" s="209">
        <f>D54+E54-F54</f>
        <v>665300.20000000007</v>
      </c>
      <c r="H54" s="202"/>
      <c r="I54" s="178"/>
      <c r="J54" s="210">
        <v>592419.80000000005</v>
      </c>
      <c r="K54" s="210">
        <v>525000</v>
      </c>
      <c r="L54" s="210">
        <v>543000</v>
      </c>
      <c r="M54" s="209">
        <f>J54+K54-L54</f>
        <v>574419.80000000005</v>
      </c>
      <c r="N54" s="178"/>
      <c r="O54" s="178"/>
      <c r="P54" s="210">
        <v>665300.19999999995</v>
      </c>
      <c r="Q54" s="210">
        <v>230356.8</v>
      </c>
      <c r="R54" s="210">
        <v>223183</v>
      </c>
      <c r="S54" s="209">
        <f>P54+Q54-R54</f>
        <v>672474</v>
      </c>
      <c r="T54" s="178"/>
      <c r="U54" s="178"/>
      <c r="V54" s="210">
        <v>672474</v>
      </c>
      <c r="W54" s="210">
        <v>520000</v>
      </c>
      <c r="X54" s="210">
        <v>540000</v>
      </c>
      <c r="Y54" s="209">
        <f>V54+W54-X54</f>
        <v>652474</v>
      </c>
      <c r="Z54" s="178"/>
      <c r="AA54" s="178"/>
      <c r="AB54" s="178"/>
      <c r="AC54" s="178"/>
      <c r="AD54" s="178"/>
    </row>
    <row r="55" spans="1:30" ht="18.7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440"/>
      <c r="W55" s="440"/>
      <c r="X55" s="440"/>
      <c r="Y55" s="440"/>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70</v>
      </c>
      <c r="E57" s="205">
        <v>67.099999999999994</v>
      </c>
      <c r="F57" s="202"/>
      <c r="G57" s="202"/>
      <c r="H57" s="202"/>
      <c r="I57" s="201"/>
      <c r="J57" s="205">
        <v>80</v>
      </c>
      <c r="K57" s="202"/>
      <c r="L57" s="202"/>
      <c r="M57" s="202"/>
      <c r="N57" s="202"/>
      <c r="O57" s="201"/>
      <c r="P57" s="205">
        <v>72.099999999999994</v>
      </c>
      <c r="Q57" s="201"/>
      <c r="R57" s="201"/>
      <c r="S57" s="201"/>
      <c r="T57" s="201"/>
      <c r="U57" s="201"/>
      <c r="V57" s="205">
        <v>82</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439" t="s">
        <v>176</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438" t="s">
        <v>175</v>
      </c>
      <c r="C61" s="437"/>
      <c r="D61" s="437"/>
      <c r="E61" s="437"/>
      <c r="F61" s="437"/>
      <c r="G61" s="437"/>
      <c r="H61" s="437"/>
      <c r="I61" s="437"/>
      <c r="J61" s="437"/>
      <c r="K61" s="437"/>
      <c r="L61" s="437"/>
      <c r="M61" s="437"/>
      <c r="N61" s="437"/>
      <c r="O61" s="437"/>
      <c r="P61" s="437"/>
      <c r="Q61" s="437"/>
      <c r="R61" s="437"/>
      <c r="S61" s="437"/>
      <c r="T61" s="437"/>
      <c r="U61" s="437"/>
      <c r="V61" s="191"/>
      <c r="W61" s="191"/>
      <c r="X61" s="191"/>
      <c r="Y61" s="191"/>
      <c r="Z61" s="191"/>
      <c r="AA61" s="191"/>
      <c r="AB61" s="190"/>
      <c r="AC61" s="178"/>
      <c r="AD61" s="178"/>
    </row>
    <row r="62" spans="1:30" x14ac:dyDescent="0.25">
      <c r="A62" s="180"/>
      <c r="B62" s="436" t="s">
        <v>174</v>
      </c>
      <c r="C62" s="423"/>
      <c r="D62" s="423"/>
      <c r="E62" s="423"/>
      <c r="F62" s="423"/>
      <c r="G62" s="423"/>
      <c r="H62" s="423"/>
      <c r="I62" s="423"/>
      <c r="J62" s="423"/>
      <c r="K62" s="423"/>
      <c r="L62" s="423"/>
      <c r="M62" s="423"/>
      <c r="N62" s="423"/>
      <c r="O62" s="423"/>
      <c r="P62" s="423"/>
      <c r="Q62" s="423"/>
      <c r="R62" s="423"/>
      <c r="S62" s="423"/>
      <c r="T62" s="423"/>
      <c r="U62" s="423"/>
      <c r="V62" s="191"/>
      <c r="W62" s="191"/>
      <c r="X62" s="191"/>
      <c r="Y62" s="191"/>
      <c r="Z62" s="191"/>
      <c r="AA62" s="191"/>
      <c r="AB62" s="190"/>
      <c r="AC62" s="178"/>
      <c r="AD62" s="178"/>
    </row>
    <row r="63" spans="1:30" x14ac:dyDescent="0.25">
      <c r="A63" s="180"/>
      <c r="B63" s="436" t="s">
        <v>173</v>
      </c>
      <c r="C63" s="423"/>
      <c r="D63" s="423"/>
      <c r="E63" s="423"/>
      <c r="F63" s="423"/>
      <c r="G63" s="423"/>
      <c r="H63" s="423"/>
      <c r="I63" s="423"/>
      <c r="J63" s="423"/>
      <c r="K63" s="423"/>
      <c r="L63" s="423"/>
      <c r="M63" s="423"/>
      <c r="N63" s="423"/>
      <c r="O63" s="423"/>
      <c r="P63" s="423"/>
      <c r="Q63" s="423"/>
      <c r="R63" s="423"/>
      <c r="S63" s="423"/>
      <c r="T63" s="423"/>
      <c r="U63" s="423"/>
      <c r="V63" s="191"/>
      <c r="W63" s="191"/>
      <c r="X63" s="191"/>
      <c r="Y63" s="191"/>
      <c r="Z63" s="191"/>
      <c r="AA63" s="191"/>
      <c r="AB63" s="190"/>
      <c r="AC63" s="178"/>
      <c r="AD63" s="178"/>
    </row>
    <row r="64" spans="1:30" x14ac:dyDescent="0.25">
      <c r="A64" s="180"/>
      <c r="B64" s="435" t="s">
        <v>172</v>
      </c>
      <c r="C64" s="422"/>
      <c r="D64" s="422"/>
      <c r="E64" s="422"/>
      <c r="F64" s="422"/>
      <c r="G64" s="422"/>
      <c r="H64" s="422"/>
      <c r="I64" s="422"/>
      <c r="J64" s="422"/>
      <c r="K64" s="422"/>
      <c r="L64" s="422"/>
      <c r="M64" s="422"/>
      <c r="N64" s="422"/>
      <c r="O64" s="422"/>
      <c r="P64" s="422"/>
      <c r="Q64" s="422"/>
      <c r="R64" s="422"/>
      <c r="S64" s="422"/>
      <c r="T64" s="422"/>
      <c r="U64" s="422"/>
      <c r="V64" s="191"/>
      <c r="W64" s="191"/>
      <c r="X64" s="191"/>
      <c r="Y64" s="191"/>
      <c r="Z64" s="191"/>
      <c r="AA64" s="191"/>
      <c r="AB64" s="190"/>
      <c r="AC64" s="178"/>
      <c r="AD64" s="178"/>
    </row>
    <row r="65" spans="1:30" x14ac:dyDescent="0.25">
      <c r="A65" s="180"/>
      <c r="B65" s="435" t="s">
        <v>171</v>
      </c>
      <c r="C65" s="422"/>
      <c r="D65" s="422"/>
      <c r="E65" s="422"/>
      <c r="F65" s="422"/>
      <c r="G65" s="422"/>
      <c r="H65" s="422"/>
      <c r="I65" s="422"/>
      <c r="J65" s="422"/>
      <c r="K65" s="422"/>
      <c r="L65" s="422"/>
      <c r="M65" s="422"/>
      <c r="N65" s="422"/>
      <c r="O65" s="422"/>
      <c r="P65" s="422"/>
      <c r="Q65" s="422"/>
      <c r="R65" s="422"/>
      <c r="S65" s="422"/>
      <c r="T65" s="422"/>
      <c r="U65" s="422"/>
      <c r="V65" s="191"/>
      <c r="W65" s="191"/>
      <c r="X65" s="191"/>
      <c r="Y65" s="191"/>
      <c r="Z65" s="191"/>
      <c r="AA65" s="191"/>
      <c r="AB65" s="190"/>
      <c r="AC65" s="178"/>
      <c r="AD65" s="178"/>
    </row>
    <row r="66" spans="1:30" x14ac:dyDescent="0.25">
      <c r="A66" s="180"/>
      <c r="B66" s="435" t="s">
        <v>170</v>
      </c>
      <c r="C66" s="422"/>
      <c r="D66" s="422"/>
      <c r="E66" s="422"/>
      <c r="F66" s="422"/>
      <c r="G66" s="422"/>
      <c r="H66" s="422"/>
      <c r="I66" s="422"/>
      <c r="J66" s="422"/>
      <c r="K66" s="422"/>
      <c r="L66" s="422"/>
      <c r="M66" s="422"/>
      <c r="N66" s="422"/>
      <c r="O66" s="422"/>
      <c r="P66" s="422"/>
      <c r="Q66" s="422"/>
      <c r="R66" s="422"/>
      <c r="S66" s="422"/>
      <c r="T66" s="422"/>
      <c r="U66" s="422"/>
      <c r="V66" s="191"/>
      <c r="W66" s="191"/>
      <c r="X66" s="191"/>
      <c r="Y66" s="191"/>
      <c r="Z66" s="191"/>
      <c r="AA66" s="191"/>
      <c r="AB66" s="190"/>
      <c r="AC66" s="178"/>
      <c r="AD66" s="178"/>
    </row>
    <row r="67" spans="1:30" x14ac:dyDescent="0.25">
      <c r="A67" s="180"/>
      <c r="B67" s="435" t="s">
        <v>169</v>
      </c>
      <c r="C67" s="422"/>
      <c r="D67" s="422"/>
      <c r="E67" s="422"/>
      <c r="F67" s="422"/>
      <c r="G67" s="422"/>
      <c r="H67" s="422"/>
      <c r="I67" s="422"/>
      <c r="J67" s="422"/>
      <c r="K67" s="422"/>
      <c r="L67" s="422"/>
      <c r="M67" s="422"/>
      <c r="N67" s="422"/>
      <c r="O67" s="422"/>
      <c r="P67" s="422"/>
      <c r="Q67" s="422"/>
      <c r="R67" s="422"/>
      <c r="S67" s="422"/>
      <c r="T67" s="422"/>
      <c r="U67" s="422"/>
      <c r="V67" s="191"/>
      <c r="W67" s="191"/>
      <c r="X67" s="191"/>
      <c r="Y67" s="191"/>
      <c r="Z67" s="191"/>
      <c r="AA67" s="191"/>
      <c r="AB67" s="190"/>
      <c r="AC67" s="178"/>
      <c r="AD67" s="178"/>
    </row>
    <row r="68" spans="1:30" x14ac:dyDescent="0.25">
      <c r="A68" s="180"/>
      <c r="B68" s="421" t="s">
        <v>168</v>
      </c>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t="s">
        <v>167</v>
      </c>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435" t="s">
        <v>166</v>
      </c>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435" t="s">
        <v>165</v>
      </c>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421" t="s">
        <v>164</v>
      </c>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435"/>
      <c r="C73" s="418"/>
      <c r="D73" s="418"/>
      <c r="E73" s="418"/>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417"/>
      <c r="C74" s="416"/>
      <c r="D74" s="413"/>
      <c r="E74" s="413"/>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t="s">
        <v>163</v>
      </c>
      <c r="C75" s="414"/>
      <c r="D75" s="413"/>
      <c r="E75" s="413"/>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435" t="s">
        <v>162</v>
      </c>
      <c r="C76" s="414"/>
      <c r="D76" s="413"/>
      <c r="E76" s="413"/>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414"/>
      <c r="D77" s="413"/>
      <c r="E77" s="413"/>
      <c r="F77" s="192"/>
      <c r="G77" s="192"/>
      <c r="H77" s="192"/>
      <c r="I77" s="192"/>
      <c r="J77" s="192"/>
      <c r="K77" s="192"/>
      <c r="L77" s="192"/>
      <c r="M77" s="192"/>
      <c r="N77" s="192"/>
      <c r="O77" s="192"/>
      <c r="P77" s="192"/>
      <c r="Q77" s="192"/>
      <c r="R77" s="192"/>
      <c r="S77" s="192"/>
      <c r="T77" s="192"/>
      <c r="U77" s="192"/>
      <c r="V77" s="408"/>
      <c r="W77" s="408"/>
      <c r="X77" s="408"/>
      <c r="Y77" s="408"/>
      <c r="Z77" s="408"/>
      <c r="AA77" s="408"/>
      <c r="AB77" s="407"/>
      <c r="AC77" s="178"/>
      <c r="AD77" s="178"/>
    </row>
    <row r="78" spans="1:30" x14ac:dyDescent="0.25">
      <c r="A78" s="189"/>
      <c r="B78" s="193" t="s">
        <v>161</v>
      </c>
      <c r="C78" s="414"/>
      <c r="D78" s="413"/>
      <c r="E78" s="413"/>
      <c r="F78" s="192"/>
      <c r="G78" s="192"/>
      <c r="H78" s="192"/>
      <c r="I78" s="192"/>
      <c r="J78" s="192"/>
      <c r="K78" s="192"/>
      <c r="L78" s="192"/>
      <c r="M78" s="192"/>
      <c r="N78" s="192"/>
      <c r="O78" s="192"/>
      <c r="P78" s="192"/>
      <c r="Q78" s="192"/>
      <c r="R78" s="192"/>
      <c r="S78" s="192"/>
      <c r="T78" s="192"/>
      <c r="U78" s="192"/>
      <c r="V78" s="178"/>
      <c r="W78" s="178"/>
      <c r="X78" s="178"/>
      <c r="Y78" s="178"/>
      <c r="Z78" s="178"/>
      <c r="AA78" s="178"/>
      <c r="AB78" s="178"/>
      <c r="AC78" s="178"/>
      <c r="AD78" s="178"/>
    </row>
    <row r="79" spans="1:30" x14ac:dyDescent="0.25">
      <c r="A79" s="180"/>
      <c r="B79" s="434" t="s">
        <v>160</v>
      </c>
      <c r="C79" s="411"/>
      <c r="D79" s="410"/>
      <c r="E79" s="410"/>
      <c r="F79" s="409"/>
      <c r="G79" s="409"/>
      <c r="H79" s="409"/>
      <c r="I79" s="409"/>
      <c r="J79" s="409"/>
      <c r="K79" s="409"/>
      <c r="L79" s="409"/>
      <c r="M79" s="409"/>
      <c r="N79" s="409"/>
      <c r="O79" s="409"/>
      <c r="P79" s="409"/>
      <c r="Q79" s="409"/>
      <c r="R79" s="409"/>
      <c r="S79" s="409"/>
      <c r="T79" s="409"/>
      <c r="U79" s="409"/>
      <c r="V79" s="178"/>
      <c r="W79" s="178"/>
      <c r="X79" s="178"/>
      <c r="Y79" s="178"/>
      <c r="Z79" s="178"/>
      <c r="AA79" s="178"/>
      <c r="AB79" s="178"/>
      <c r="AC79" s="178"/>
      <c r="AD79" s="178"/>
    </row>
    <row r="80" spans="1:30" x14ac:dyDescent="0.25">
      <c r="A80" s="180"/>
      <c r="B80" s="179" t="s">
        <v>5</v>
      </c>
      <c r="C80" s="185">
        <v>44503</v>
      </c>
      <c r="D80" s="179" t="s">
        <v>4</v>
      </c>
      <c r="E80" s="184" t="s">
        <v>159</v>
      </c>
      <c r="F80" s="184"/>
      <c r="G80" s="184"/>
      <c r="H80" s="179"/>
      <c r="I80" s="179" t="s">
        <v>2</v>
      </c>
      <c r="J80" s="183" t="s">
        <v>158</v>
      </c>
      <c r="K80" s="183"/>
      <c r="L80" s="183"/>
      <c r="M80" s="183"/>
      <c r="N80" s="179"/>
      <c r="O80" s="179"/>
      <c r="P80" s="179"/>
      <c r="Q80" s="179"/>
      <c r="R80" s="179"/>
      <c r="S80" s="179"/>
      <c r="T80" s="179"/>
      <c r="U80" s="179"/>
      <c r="V80" s="178"/>
      <c r="W80" s="178"/>
      <c r="X80" s="178"/>
      <c r="Y80" s="178"/>
      <c r="Z80" s="178"/>
      <c r="AA80" s="178"/>
      <c r="AB80" s="178"/>
      <c r="AC80" s="178"/>
      <c r="AD80" s="178"/>
    </row>
    <row r="81" spans="1:30" ht="7.5" customHeight="1" x14ac:dyDescent="0.25">
      <c r="A81" s="180"/>
      <c r="B81" s="179"/>
      <c r="C81" s="179"/>
      <c r="D81" s="179"/>
      <c r="E81" s="179"/>
      <c r="F81" s="179"/>
      <c r="G81" s="179"/>
      <c r="H81" s="179"/>
      <c r="I81" s="179"/>
      <c r="J81" s="179"/>
      <c r="K81" s="179"/>
      <c r="L81" s="179"/>
      <c r="M81" s="179"/>
      <c r="N81" s="179"/>
      <c r="O81" s="179"/>
      <c r="P81" s="179"/>
      <c r="Q81" s="179"/>
      <c r="R81" s="179"/>
      <c r="S81" s="179"/>
      <c r="T81" s="179"/>
      <c r="U81" s="179"/>
      <c r="V81" s="178"/>
      <c r="W81" s="178"/>
      <c r="X81" s="178"/>
      <c r="Y81" s="178"/>
      <c r="Z81" s="178"/>
      <c r="AA81" s="178"/>
      <c r="AB81" s="178"/>
      <c r="AC81" s="178"/>
      <c r="AD81" s="178"/>
    </row>
    <row r="82" spans="1:30" x14ac:dyDescent="0.25">
      <c r="A82" s="180"/>
      <c r="B82" s="179"/>
      <c r="C82" s="179"/>
      <c r="D82" s="179" t="s">
        <v>0</v>
      </c>
      <c r="E82" s="182"/>
      <c r="F82" s="182"/>
      <c r="G82" s="182"/>
      <c r="H82" s="179"/>
      <c r="I82" s="179" t="s">
        <v>0</v>
      </c>
      <c r="J82" s="181"/>
      <c r="K82" s="181"/>
      <c r="L82" s="181"/>
      <c r="M82" s="181"/>
      <c r="N82" s="179"/>
      <c r="O82" s="179"/>
      <c r="P82" s="179"/>
      <c r="Q82" s="179"/>
      <c r="R82" s="179"/>
      <c r="S82" s="179"/>
      <c r="T82" s="179"/>
      <c r="U82" s="179"/>
      <c r="V82" s="178"/>
      <c r="W82" s="178"/>
      <c r="X82" s="178"/>
      <c r="Y82" s="178"/>
      <c r="Z82" s="178"/>
      <c r="AA82" s="178"/>
      <c r="AB82" s="178"/>
      <c r="AC82" s="178"/>
      <c r="AD82" s="178"/>
    </row>
    <row r="83" spans="1:30" x14ac:dyDescent="0.25">
      <c r="A83" s="180"/>
      <c r="B83" s="179"/>
      <c r="C83" s="179"/>
      <c r="D83" s="179"/>
      <c r="E83" s="182"/>
      <c r="F83" s="182"/>
      <c r="G83" s="182"/>
      <c r="H83" s="179"/>
      <c r="I83" s="179"/>
      <c r="J83" s="181"/>
      <c r="K83" s="181"/>
      <c r="L83" s="181"/>
      <c r="M83" s="181"/>
      <c r="N83" s="179"/>
      <c r="O83" s="179"/>
      <c r="P83" s="179"/>
      <c r="Q83" s="179"/>
      <c r="R83" s="179"/>
      <c r="S83" s="179"/>
      <c r="T83" s="179"/>
      <c r="U83" s="179"/>
      <c r="V83" s="178"/>
      <c r="W83" s="178"/>
      <c r="X83" s="178"/>
      <c r="Y83" s="178"/>
      <c r="Z83" s="178"/>
      <c r="AA83" s="178"/>
      <c r="AB83" s="178"/>
      <c r="AC83" s="178"/>
      <c r="AD83" s="178"/>
    </row>
    <row r="84" spans="1:30" x14ac:dyDescent="0.25">
      <c r="A84" s="180"/>
      <c r="B84" s="179"/>
      <c r="C84" s="179"/>
      <c r="D84" s="179"/>
      <c r="E84" s="179"/>
      <c r="F84" s="179"/>
      <c r="G84" s="179"/>
      <c r="H84" s="179"/>
      <c r="I84" s="179"/>
      <c r="J84" s="179"/>
      <c r="K84" s="179"/>
      <c r="L84" s="179"/>
      <c r="M84" s="179"/>
      <c r="N84" s="179"/>
      <c r="O84" s="179"/>
      <c r="P84" s="179"/>
      <c r="Q84" s="179"/>
      <c r="R84" s="179"/>
      <c r="S84" s="179"/>
      <c r="T84" s="179"/>
      <c r="U84" s="179"/>
      <c r="V84" s="178"/>
      <c r="W84" s="178"/>
      <c r="X84" s="178"/>
      <c r="Y84" s="178"/>
      <c r="Z84" s="178"/>
      <c r="AA84" s="178"/>
      <c r="AB84" s="178"/>
      <c r="AC84" s="178"/>
      <c r="AD84" s="178"/>
    </row>
    <row r="85" spans="1:30" x14ac:dyDescent="0.25">
      <c r="A85" s="180"/>
      <c r="B85" s="179"/>
      <c r="C85" s="179"/>
      <c r="D85" s="179"/>
      <c r="E85" s="179"/>
      <c r="F85" s="179"/>
      <c r="G85" s="179"/>
      <c r="H85" s="179"/>
      <c r="I85" s="179"/>
      <c r="J85" s="179"/>
      <c r="K85" s="179"/>
      <c r="L85" s="179"/>
      <c r="M85" s="179"/>
      <c r="N85" s="179"/>
      <c r="O85" s="179"/>
      <c r="P85" s="179"/>
      <c r="Q85" s="179"/>
      <c r="R85" s="179"/>
      <c r="S85" s="179"/>
      <c r="T85" s="179"/>
      <c r="U85" s="179"/>
      <c r="V85" s="178"/>
      <c r="W85" s="178"/>
      <c r="X85" s="178"/>
      <c r="Y85" s="178"/>
      <c r="Z85" s="178"/>
      <c r="AA85" s="178"/>
      <c r="AB85" s="178"/>
      <c r="AC85" s="178"/>
      <c r="AD85" s="178"/>
    </row>
    <row r="86" spans="1:30" hidden="1" x14ac:dyDescent="0.25">
      <c r="AC86" s="175"/>
      <c r="AD86" s="175"/>
    </row>
    <row r="87" spans="1:30" hidden="1" x14ac:dyDescent="0.25"/>
    <row r="88" spans="1:30" hidden="1" x14ac:dyDescent="0.25"/>
    <row r="89" spans="1:30" hidden="1" x14ac:dyDescent="0.25"/>
    <row r="90" spans="1:30" hidden="1" x14ac:dyDescent="0.25"/>
    <row r="91" spans="1:30" hidden="1" x14ac:dyDescent="0.25"/>
    <row r="92" spans="1:30" hidden="1" x14ac:dyDescent="0.25"/>
    <row r="93" spans="1:30" hidden="1" x14ac:dyDescent="0.25"/>
    <row r="94" spans="1:30" hidden="1" x14ac:dyDescent="0.25"/>
    <row r="95" spans="1:30" hidden="1" x14ac:dyDescent="0.25"/>
    <row r="96" spans="1:30" hidden="1" x14ac:dyDescent="0.25"/>
    <row r="97" hidden="1" x14ac:dyDescent="0.25"/>
    <row r="98" hidden="1" x14ac:dyDescent="0.25"/>
    <row r="99" hidden="1" x14ac:dyDescent="0.25"/>
    <row r="100" hidden="1" x14ac:dyDescent="0.25"/>
    <row r="101" hidden="1" x14ac:dyDescent="0.25"/>
    <row r="102" ht="15" hidden="1" customHeight="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t="15" hidden="1" customHeight="1" x14ac:dyDescent="0.25"/>
    <row r="117" ht="15" hidden="1" customHeight="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sheetData>
  <mergeCells count="64">
    <mergeCell ref="B10:B13"/>
    <mergeCell ref="J10:O10"/>
    <mergeCell ref="J11:M11"/>
    <mergeCell ref="J12:O12"/>
    <mergeCell ref="J13:L13"/>
    <mergeCell ref="M13:M14"/>
    <mergeCell ref="N13:N14"/>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80:G80"/>
    <mergeCell ref="J80:M80"/>
    <mergeCell ref="B63:U63"/>
    <mergeCell ref="H26:H27"/>
    <mergeCell ref="I26:I27"/>
    <mergeCell ref="N26:N27"/>
    <mergeCell ref="V10:AA10"/>
    <mergeCell ref="V25:AA25"/>
    <mergeCell ref="Y13:Y14"/>
    <mergeCell ref="Z13:Z14"/>
    <mergeCell ref="T13:T14"/>
    <mergeCell ref="U13:U14"/>
    <mergeCell ref="P25:U25"/>
    <mergeCell ref="S13:S14"/>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AB28:AB41">
    <cfRule type="cellIs" dxfId="57" priority="1" operator="equal">
      <formula>0</formula>
    </cfRule>
    <cfRule type="containsErrors" dxfId="56" priority="2">
      <formula>ISERROR(AB15)</formula>
    </cfRule>
  </conditionalFormatting>
  <pageMargins left="0.70866141732283472" right="0.70866141732283472" top="0.78740157480314965" bottom="0.78740157480314965" header="0.31496062992125984" footer="0.31496062992125984"/>
  <pageSetup paperSize="8"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128"/>
  <sheetViews>
    <sheetView showGridLines="0" zoomScale="80" zoomScaleNormal="80" zoomScaleSheetLayoutView="80" workbookViewId="0">
      <selection activeCell="C76" sqref="C76"/>
    </sheetView>
  </sheetViews>
  <sheetFormatPr defaultColWidth="0" defaultRowHeight="15" zeroHeight="1" x14ac:dyDescent="0.25"/>
  <cols>
    <col min="1" max="1" width="4.5703125" style="176" customWidth="1"/>
    <col min="2" max="2" width="9.140625" style="176" customWidth="1"/>
    <col min="3" max="3" width="43.42578125" style="176" customWidth="1"/>
    <col min="4" max="9" width="16" style="176" customWidth="1"/>
    <col min="10" max="12" width="18.42578125" style="176" customWidth="1"/>
    <col min="13" max="13" width="18.42578125" style="177" customWidth="1"/>
    <col min="14" max="15" width="18.42578125" style="176" customWidth="1"/>
    <col min="16" max="21" width="18.5703125" style="176" customWidth="1"/>
    <col min="22" max="27" width="17.28515625" style="176"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157</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79065</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156</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f>+'[3]Vyhodnocení hospodaření PO'!P15</f>
        <v>0</v>
      </c>
      <c r="E15" s="368">
        <f>+'[3]Vyhodnocení hospodaření PO'!Q15</f>
        <v>0</v>
      </c>
      <c r="F15" s="367">
        <f>+'[3]Vyhodnocení hospodaření PO'!R15</f>
        <v>16685637.51</v>
      </c>
      <c r="G15" s="366">
        <f>SUM(D15:F15)</f>
        <v>16685637.51</v>
      </c>
      <c r="H15" s="352">
        <f>+'[3]Vyhodnocení hospodaření PO'!T15</f>
        <v>17108582.789999999</v>
      </c>
      <c r="I15" s="266">
        <f>G15+H15</f>
        <v>33794220.299999997</v>
      </c>
      <c r="J15" s="369">
        <f>+'[2]NR 2021'!V15</f>
        <v>0</v>
      </c>
      <c r="K15" s="368">
        <f>+'[2]NR 2021'!W15</f>
        <v>0</v>
      </c>
      <c r="L15" s="367">
        <f>+'[2]NR 2021'!X15</f>
        <v>16230000</v>
      </c>
      <c r="M15" s="366">
        <f>SUM(J15:L15)</f>
        <v>16230000</v>
      </c>
      <c r="N15" s="352">
        <f>+'[2]NR 2021'!Z15</f>
        <v>15050000</v>
      </c>
      <c r="O15" s="266">
        <f>M15+N15</f>
        <v>31280000</v>
      </c>
      <c r="P15" s="369">
        <f>+'[1]Vyhodnocení hospodaření PO'!P15</f>
        <v>0</v>
      </c>
      <c r="Q15" s="368">
        <f>+'[1]Vyhodnocení hospodaření PO'!Q15</f>
        <v>0</v>
      </c>
      <c r="R15" s="367">
        <f>+'[1]Vyhodnocení hospodaření PO'!R15</f>
        <v>9269399.5300000012</v>
      </c>
      <c r="S15" s="366">
        <f>SUM(P15:R15)</f>
        <v>9269399.5300000012</v>
      </c>
      <c r="T15" s="352">
        <f>+'[1]Vyhodnocení hospodaření PO'!T15</f>
        <v>8526841.3599999994</v>
      </c>
      <c r="U15" s="266">
        <f>S15+T15</f>
        <v>17796240.890000001</v>
      </c>
      <c r="V15" s="369">
        <v>0</v>
      </c>
      <c r="W15" s="368">
        <v>0</v>
      </c>
      <c r="X15" s="367">
        <v>16690000</v>
      </c>
      <c r="Y15" s="366">
        <f>SUM(V15:X15)</f>
        <v>16690000</v>
      </c>
      <c r="Z15" s="352">
        <v>17100000</v>
      </c>
      <c r="AA15" s="266">
        <f>Y15+Z15</f>
        <v>33790000</v>
      </c>
      <c r="AB15" s="232">
        <f>(AA15/O15)</f>
        <v>1.0802429667519182</v>
      </c>
      <c r="AC15" s="178"/>
      <c r="AD15" s="178"/>
    </row>
    <row r="16" spans="1:30" x14ac:dyDescent="0.25">
      <c r="A16" s="180"/>
      <c r="B16" s="274" t="s">
        <v>86</v>
      </c>
      <c r="C16" s="361" t="s">
        <v>85</v>
      </c>
      <c r="D16" s="360">
        <f>+'[3]Vyhodnocení hospodaření PO'!P16</f>
        <v>130031827.89999998</v>
      </c>
      <c r="E16" s="343">
        <f>+'[3]Vyhodnocení hospodaření PO'!Q16</f>
        <v>0</v>
      </c>
      <c r="F16" s="343">
        <f>+'[3]Vyhodnocení hospodaření PO'!R16</f>
        <v>0</v>
      </c>
      <c r="G16" s="341">
        <f>SUM(D16:F16)</f>
        <v>130031827.89999998</v>
      </c>
      <c r="H16" s="358">
        <f>+'[3]Vyhodnocení hospodaření PO'!T16</f>
        <v>0</v>
      </c>
      <c r="I16" s="266">
        <f>G16+H16</f>
        <v>130031827.89999998</v>
      </c>
      <c r="J16" s="360">
        <f>+'[2]NR 2021'!V16</f>
        <v>129943000</v>
      </c>
      <c r="K16" s="343">
        <f>+'[2]NR 2021'!W16</f>
        <v>0</v>
      </c>
      <c r="L16" s="343">
        <f>+'[2]NR 2021'!X16</f>
        <v>0</v>
      </c>
      <c r="M16" s="341">
        <f>SUM(J16:L16)</f>
        <v>129943000</v>
      </c>
      <c r="N16" s="358">
        <f>+'[2]NR 2021'!Z16</f>
        <v>0</v>
      </c>
      <c r="O16" s="266">
        <f>M16+N16</f>
        <v>129943000</v>
      </c>
      <c r="P16" s="360">
        <f>+'[1]Vyhodnocení hospodaření PO'!P16</f>
        <v>64971500</v>
      </c>
      <c r="Q16" s="343">
        <f>+'[1]Vyhodnocení hospodaření PO'!Q16</f>
        <v>0</v>
      </c>
      <c r="R16" s="343">
        <f>+'[1]Vyhodnocení hospodaření PO'!R16</f>
        <v>0</v>
      </c>
      <c r="S16" s="341">
        <f>SUM(P16:R16)</f>
        <v>64971500</v>
      </c>
      <c r="T16" s="358">
        <f>+'[1]Vyhodnocení hospodaření PO'!T16</f>
        <v>0</v>
      </c>
      <c r="U16" s="266">
        <f>S16+T16</f>
        <v>64971500</v>
      </c>
      <c r="V16" s="360">
        <f>129943000+340000+4090000+2658128+8999872</f>
        <v>146031000</v>
      </c>
      <c r="W16" s="343">
        <v>0</v>
      </c>
      <c r="X16" s="343">
        <v>0</v>
      </c>
      <c r="Y16" s="341">
        <f>SUM(V16:X16)</f>
        <v>146031000</v>
      </c>
      <c r="Z16" s="358">
        <v>0</v>
      </c>
      <c r="AA16" s="266">
        <f>Y16+Z16</f>
        <v>146031000</v>
      </c>
      <c r="AB16" s="232">
        <f>(AA16/O16)</f>
        <v>1.1238081312575514</v>
      </c>
      <c r="AC16" s="178"/>
      <c r="AD16" s="178"/>
    </row>
    <row r="17" spans="1:30" x14ac:dyDescent="0.25">
      <c r="A17" s="180"/>
      <c r="B17" s="274" t="s">
        <v>84</v>
      </c>
      <c r="C17" s="357" t="s">
        <v>83</v>
      </c>
      <c r="D17" s="356">
        <f>+'[3]Vyhodnocení hospodaření PO'!P17</f>
        <v>0</v>
      </c>
      <c r="E17" s="350">
        <f>+'[3]Vyhodnocení hospodaření PO'!Q17</f>
        <v>0</v>
      </c>
      <c r="F17" s="350">
        <f>+'[3]Vyhodnocení hospodaření PO'!R17</f>
        <v>0</v>
      </c>
      <c r="G17" s="341">
        <f>SUM(D17:F17)</f>
        <v>0</v>
      </c>
      <c r="H17" s="355">
        <f>+'[3]Vyhodnocení hospodaření PO'!T17</f>
        <v>0</v>
      </c>
      <c r="I17" s="266">
        <f>G17+H17</f>
        <v>0</v>
      </c>
      <c r="J17" s="356">
        <f>+'[2]NR 2021'!V17</f>
        <v>0</v>
      </c>
      <c r="K17" s="350">
        <f>+'[2]NR 2021'!W17</f>
        <v>0</v>
      </c>
      <c r="L17" s="350">
        <f>+'[2]NR 2021'!X17</f>
        <v>0</v>
      </c>
      <c r="M17" s="341">
        <f>SUM(J17:L17)</f>
        <v>0</v>
      </c>
      <c r="N17" s="355">
        <f>+'[2]NR 2021'!Z17</f>
        <v>0</v>
      </c>
      <c r="O17" s="266">
        <f>M17+N17</f>
        <v>0</v>
      </c>
      <c r="P17" s="356">
        <f>+'[1]Vyhodnocení hospodaření PO'!P17</f>
        <v>0</v>
      </c>
      <c r="Q17" s="350">
        <f>+'[1]Vyhodnocení hospodaření PO'!Q17</f>
        <v>0</v>
      </c>
      <c r="R17" s="350">
        <f>+'[1]Vyhodnocení hospodaření PO'!R17</f>
        <v>0</v>
      </c>
      <c r="S17" s="341">
        <f>SUM(P17:R17)</f>
        <v>0</v>
      </c>
      <c r="T17" s="355">
        <f>+'[1]Vyhodnocení hospodaření PO'!T17</f>
        <v>0</v>
      </c>
      <c r="U17" s="266">
        <f>S17+T17</f>
        <v>0</v>
      </c>
      <c r="V17" s="356">
        <v>0</v>
      </c>
      <c r="W17" s="350">
        <v>0</v>
      </c>
      <c r="X17" s="350">
        <v>0</v>
      </c>
      <c r="Y17" s="341">
        <f>SUM(V17:X17)</f>
        <v>0</v>
      </c>
      <c r="Z17" s="355">
        <v>0</v>
      </c>
      <c r="AA17" s="266">
        <f>Y17+Z17</f>
        <v>0</v>
      </c>
      <c r="AB17" s="232" t="e">
        <f>(AA17/O17)</f>
        <v>#DIV/0!</v>
      </c>
      <c r="AC17" s="178"/>
      <c r="AD17" s="178"/>
    </row>
    <row r="18" spans="1:30" x14ac:dyDescent="0.25">
      <c r="A18" s="180"/>
      <c r="B18" s="274" t="s">
        <v>82</v>
      </c>
      <c r="C18" s="354" t="s">
        <v>81</v>
      </c>
      <c r="D18" s="344">
        <f>+'[3]Vyhodnocení hospodaření PO'!P18</f>
        <v>0</v>
      </c>
      <c r="E18" s="353">
        <f>+'[3]Vyhodnocení hospodaření PO'!Q18</f>
        <v>0</v>
      </c>
      <c r="F18" s="350">
        <f>+'[3]Vyhodnocení hospodaření PO'!R18</f>
        <v>0</v>
      </c>
      <c r="G18" s="341">
        <f>SUM(D18:F18)</f>
        <v>0</v>
      </c>
      <c r="H18" s="352">
        <f>+'[3]Vyhodnocení hospodaření PO'!T18</f>
        <v>0</v>
      </c>
      <c r="I18" s="266">
        <f>G18+H18</f>
        <v>0</v>
      </c>
      <c r="J18" s="344">
        <f>+'[2]NR 2021'!V18</f>
        <v>0</v>
      </c>
      <c r="K18" s="353">
        <f>+'[2]NR 2021'!W18</f>
        <v>1261073</v>
      </c>
      <c r="L18" s="350">
        <f>+'[2]NR 2021'!X18</f>
        <v>0</v>
      </c>
      <c r="M18" s="341">
        <f>SUM(J18:L18)</f>
        <v>1261073</v>
      </c>
      <c r="N18" s="352">
        <f>+'[2]NR 2021'!Z18</f>
        <v>0</v>
      </c>
      <c r="O18" s="266">
        <f>M18+N18</f>
        <v>1261073</v>
      </c>
      <c r="P18" s="344">
        <f>+'[1]Vyhodnocení hospodaření PO'!P18</f>
        <v>0</v>
      </c>
      <c r="Q18" s="353">
        <f>+'[1]Vyhodnocení hospodaření PO'!Q18</f>
        <v>0</v>
      </c>
      <c r="R18" s="350">
        <f>+'[1]Vyhodnocení hospodaření PO'!R18</f>
        <v>0</v>
      </c>
      <c r="S18" s="341">
        <f>SUM(P18:R18)</f>
        <v>0</v>
      </c>
      <c r="T18" s="352">
        <f>+'[1]Vyhodnocení hospodaření PO'!T18</f>
        <v>0</v>
      </c>
      <c r="U18" s="266">
        <f>S18+T18</f>
        <v>0</v>
      </c>
      <c r="V18" s="344">
        <v>0</v>
      </c>
      <c r="W18" s="353">
        <v>0</v>
      </c>
      <c r="X18" s="350">
        <v>0</v>
      </c>
      <c r="Y18" s="341">
        <f>SUM(V18:X18)</f>
        <v>0</v>
      </c>
      <c r="Z18" s="352">
        <v>0</v>
      </c>
      <c r="AA18" s="266">
        <f>Y18+Z18</f>
        <v>0</v>
      </c>
      <c r="AB18" s="232">
        <f>(AA18/O18)</f>
        <v>0</v>
      </c>
      <c r="AC18" s="178"/>
      <c r="AD18" s="178"/>
    </row>
    <row r="19" spans="1:30" x14ac:dyDescent="0.25">
      <c r="A19" s="180"/>
      <c r="B19" s="274" t="s">
        <v>80</v>
      </c>
      <c r="C19" s="280" t="s">
        <v>79</v>
      </c>
      <c r="D19" s="351">
        <f>+'[3]Vyhodnocení hospodaření PO'!P19</f>
        <v>0</v>
      </c>
      <c r="E19" s="350">
        <f>+'[3]Vyhodnocení hospodaření PO'!Q19</f>
        <v>0</v>
      </c>
      <c r="F19" s="347">
        <f>+'[3]Vyhodnocení hospodaření PO'!R19</f>
        <v>0</v>
      </c>
      <c r="G19" s="341">
        <f>SUM(D19:F19)</f>
        <v>0</v>
      </c>
      <c r="H19" s="345">
        <f>+'[3]Vyhodnocení hospodaření PO'!T19</f>
        <v>0</v>
      </c>
      <c r="I19" s="266">
        <f>G19+H19</f>
        <v>0</v>
      </c>
      <c r="J19" s="351">
        <f>+'[2]NR 2021'!V19</f>
        <v>0</v>
      </c>
      <c r="K19" s="350">
        <f>+'[2]NR 2021'!W19</f>
        <v>0</v>
      </c>
      <c r="L19" s="347">
        <f>+'[2]NR 2021'!X19</f>
        <v>0</v>
      </c>
      <c r="M19" s="341">
        <f>SUM(J19:L19)</f>
        <v>0</v>
      </c>
      <c r="N19" s="345">
        <f>+'[2]NR 2021'!Z19</f>
        <v>0</v>
      </c>
      <c r="O19" s="266">
        <f>M19+N19</f>
        <v>0</v>
      </c>
      <c r="P19" s="351">
        <f>+'[1]Vyhodnocení hospodaření PO'!P19</f>
        <v>0</v>
      </c>
      <c r="Q19" s="350">
        <f>+'[1]Vyhodnocení hospodaření PO'!Q19</f>
        <v>0</v>
      </c>
      <c r="R19" s="347">
        <f>+'[1]Vyhodnocení hospodaření PO'!R19</f>
        <v>0</v>
      </c>
      <c r="S19" s="341">
        <f>SUM(P19:R19)</f>
        <v>0</v>
      </c>
      <c r="T19" s="345">
        <f>+'[1]Vyhodnocení hospodaření PO'!T19</f>
        <v>0</v>
      </c>
      <c r="U19" s="266">
        <f>S19+T19</f>
        <v>0</v>
      </c>
      <c r="V19" s="351">
        <v>0</v>
      </c>
      <c r="W19" s="350">
        <v>0</v>
      </c>
      <c r="X19" s="347">
        <v>0</v>
      </c>
      <c r="Y19" s="341">
        <f>SUM(V19:X19)</f>
        <v>0</v>
      </c>
      <c r="Z19" s="345">
        <v>0</v>
      </c>
      <c r="AA19" s="266">
        <f>Y19+Z19</f>
        <v>0</v>
      </c>
      <c r="AB19" s="232" t="e">
        <f>(AA19/O19)</f>
        <v>#DIV/0!</v>
      </c>
      <c r="AC19" s="178"/>
      <c r="AD19" s="178"/>
    </row>
    <row r="20" spans="1:30" x14ac:dyDescent="0.25">
      <c r="A20" s="180"/>
      <c r="B20" s="274" t="s">
        <v>78</v>
      </c>
      <c r="C20" s="346" t="s">
        <v>77</v>
      </c>
      <c r="D20" s="344">
        <f>+'[3]Vyhodnocení hospodaření PO'!P20</f>
        <v>0</v>
      </c>
      <c r="E20" s="343">
        <f>+'[3]Vyhodnocení hospodaření PO'!Q20</f>
        <v>0</v>
      </c>
      <c r="F20" s="342">
        <f>+'[3]Vyhodnocení hospodaření PO'!R20</f>
        <v>3770031.26</v>
      </c>
      <c r="G20" s="341">
        <f>SUM(D20:F20)</f>
        <v>3770031.26</v>
      </c>
      <c r="H20" s="345">
        <f>+'[3]Vyhodnocení hospodaření PO'!T20</f>
        <v>0</v>
      </c>
      <c r="I20" s="266">
        <f>G20+H20</f>
        <v>3770031.26</v>
      </c>
      <c r="J20" s="344">
        <f>+'[2]NR 2021'!V20</f>
        <v>0</v>
      </c>
      <c r="K20" s="343">
        <f>+'[2]NR 2021'!W20</f>
        <v>0</v>
      </c>
      <c r="L20" s="342">
        <f>+'[2]NR 2021'!X20</f>
        <v>0</v>
      </c>
      <c r="M20" s="341">
        <f>SUM(J20:L20)</f>
        <v>0</v>
      </c>
      <c r="N20" s="345">
        <f>+'[2]NR 2021'!Z20</f>
        <v>0</v>
      </c>
      <c r="O20" s="266">
        <f>M20+N20</f>
        <v>0</v>
      </c>
      <c r="P20" s="344">
        <f>+'[1]Vyhodnocení hospodaření PO'!P20</f>
        <v>0</v>
      </c>
      <c r="Q20" s="343">
        <f>+'[1]Vyhodnocení hospodaření PO'!Q20</f>
        <v>0</v>
      </c>
      <c r="R20" s="342">
        <f>+'[1]Vyhodnocení hospodaření PO'!R20</f>
        <v>106065</v>
      </c>
      <c r="S20" s="341">
        <f>SUM(P20:R20)</f>
        <v>106065</v>
      </c>
      <c r="T20" s="345">
        <f>+'[1]Vyhodnocení hospodaření PO'!T20</f>
        <v>0</v>
      </c>
      <c r="U20" s="266">
        <f>S20+T20</f>
        <v>106065</v>
      </c>
      <c r="V20" s="344">
        <v>0</v>
      </c>
      <c r="W20" s="343">
        <v>0</v>
      </c>
      <c r="X20" s="342">
        <v>3770000</v>
      </c>
      <c r="Y20" s="341">
        <f>SUM(V20:X20)</f>
        <v>3770000</v>
      </c>
      <c r="Z20" s="345">
        <v>0</v>
      </c>
      <c r="AA20" s="266">
        <f>Y20+Z20</f>
        <v>3770000</v>
      </c>
      <c r="AB20" s="232" t="e">
        <f>(AA20/O20)</f>
        <v>#DIV/0!</v>
      </c>
      <c r="AC20" s="178"/>
      <c r="AD20" s="178"/>
    </row>
    <row r="21" spans="1:30" x14ac:dyDescent="0.25">
      <c r="A21" s="180"/>
      <c r="B21" s="274" t="s">
        <v>76</v>
      </c>
      <c r="C21" s="273" t="s">
        <v>75</v>
      </c>
      <c r="D21" s="344">
        <f>+'[3]Vyhodnocení hospodaření PO'!P21</f>
        <v>0</v>
      </c>
      <c r="E21" s="343">
        <f>+'[3]Vyhodnocení hospodaření PO'!Q21</f>
        <v>0</v>
      </c>
      <c r="F21" s="342">
        <f>+'[3]Vyhodnocení hospodaření PO'!R21</f>
        <v>3241328.8099999996</v>
      </c>
      <c r="G21" s="341">
        <f>SUM(D21:F21)</f>
        <v>3241328.8099999996</v>
      </c>
      <c r="H21" s="336">
        <f>+'[3]Vyhodnocení hospodaření PO'!T21</f>
        <v>63742.82</v>
      </c>
      <c r="I21" s="266">
        <f>G21+H21</f>
        <v>3305071.6299999994</v>
      </c>
      <c r="J21" s="344">
        <f>+'[2]NR 2021'!V21</f>
        <v>0</v>
      </c>
      <c r="K21" s="343">
        <f>+'[2]NR 2021'!W21</f>
        <v>0</v>
      </c>
      <c r="L21" s="342">
        <f>+'[2]NR 2021'!X21</f>
        <v>1396342</v>
      </c>
      <c r="M21" s="341">
        <f>SUM(J21:L21)</f>
        <v>1396342</v>
      </c>
      <c r="N21" s="336">
        <f>+'[2]NR 2021'!Z21</f>
        <v>6000</v>
      </c>
      <c r="O21" s="266">
        <f>M21+N21</f>
        <v>1402342</v>
      </c>
      <c r="P21" s="344">
        <f>+'[1]Vyhodnocení hospodaření PO'!P21</f>
        <v>0</v>
      </c>
      <c r="Q21" s="343">
        <f>+'[1]Vyhodnocení hospodaření PO'!Q21</f>
        <v>0</v>
      </c>
      <c r="R21" s="342">
        <f>+'[1]Vyhodnocení hospodaření PO'!R21</f>
        <v>2312405.9399999976</v>
      </c>
      <c r="S21" s="341">
        <f>SUM(P21:R21)</f>
        <v>2312405.9399999976</v>
      </c>
      <c r="T21" s="336">
        <f>+'[1]Vyhodnocení hospodaření PO'!T21</f>
        <v>3216.1200000000003</v>
      </c>
      <c r="U21" s="266">
        <f>S21+T21</f>
        <v>2315622.0599999977</v>
      </c>
      <c r="V21" s="344">
        <v>0</v>
      </c>
      <c r="W21" s="343">
        <v>0</v>
      </c>
      <c r="X21" s="342">
        <v>3200000</v>
      </c>
      <c r="Y21" s="341">
        <f>SUM(V21:X21)</f>
        <v>3200000</v>
      </c>
      <c r="Z21" s="336">
        <v>0</v>
      </c>
      <c r="AA21" s="266">
        <f>Y21+Z21</f>
        <v>3200000</v>
      </c>
      <c r="AB21" s="232">
        <f>(AA21/O21)</f>
        <v>2.2818969980218804</v>
      </c>
      <c r="AC21" s="178"/>
      <c r="AD21" s="178"/>
    </row>
    <row r="22" spans="1:30" x14ac:dyDescent="0.25">
      <c r="A22" s="180"/>
      <c r="B22" s="274" t="s">
        <v>74</v>
      </c>
      <c r="C22" s="273" t="s">
        <v>73</v>
      </c>
      <c r="D22" s="344">
        <f>+'[3]Vyhodnocení hospodaření PO'!P22</f>
        <v>0</v>
      </c>
      <c r="E22" s="343">
        <f>+'[3]Vyhodnocení hospodaření PO'!Q22</f>
        <v>0</v>
      </c>
      <c r="F22" s="342">
        <f>+'[3]Vyhodnocení hospodaření PO'!R22</f>
        <v>200731.54</v>
      </c>
      <c r="G22" s="341">
        <f>SUM(D22:F22)</f>
        <v>200731.54</v>
      </c>
      <c r="H22" s="336">
        <f>+'[3]Vyhodnocení hospodaření PO'!T22</f>
        <v>0</v>
      </c>
      <c r="I22" s="266">
        <f>G22+H22</f>
        <v>200731.54</v>
      </c>
      <c r="J22" s="344">
        <f>+'[2]NR 2021'!V22</f>
        <v>0</v>
      </c>
      <c r="K22" s="343">
        <f>+'[2]NR 2021'!W22</f>
        <v>0</v>
      </c>
      <c r="L22" s="342">
        <f>+'[2]NR 2021'!X22</f>
        <v>625000</v>
      </c>
      <c r="M22" s="341">
        <f>SUM(J22:L22)</f>
        <v>625000</v>
      </c>
      <c r="N22" s="336">
        <f>+'[2]NR 2021'!Z22</f>
        <v>0</v>
      </c>
      <c r="O22" s="266">
        <f>M22+N22</f>
        <v>625000</v>
      </c>
      <c r="P22" s="344">
        <f>+'[1]Vyhodnocení hospodaření PO'!P22</f>
        <v>0</v>
      </c>
      <c r="Q22" s="343">
        <f>+'[1]Vyhodnocení hospodaření PO'!Q22</f>
        <v>0</v>
      </c>
      <c r="R22" s="342">
        <f>+'[1]Vyhodnocení hospodaření PO'!R22</f>
        <v>139024.05000000002</v>
      </c>
      <c r="S22" s="341">
        <f>SUM(P22:R22)</f>
        <v>139024.05000000002</v>
      </c>
      <c r="T22" s="336">
        <f>+'[1]Vyhodnocení hospodaření PO'!T22</f>
        <v>0</v>
      </c>
      <c r="U22" s="266">
        <f>S22+T22</f>
        <v>139024.05000000002</v>
      </c>
      <c r="V22" s="344">
        <v>0</v>
      </c>
      <c r="W22" s="343">
        <v>0</v>
      </c>
      <c r="X22" s="342">
        <v>200000</v>
      </c>
      <c r="Y22" s="341">
        <f>SUM(V22:X22)</f>
        <v>200000</v>
      </c>
      <c r="Z22" s="336">
        <v>0</v>
      </c>
      <c r="AA22" s="266">
        <f>Y22+Z22</f>
        <v>200000</v>
      </c>
      <c r="AB22" s="232">
        <f>(AA22/O22)</f>
        <v>0.32</v>
      </c>
      <c r="AC22" s="178"/>
      <c r="AD22" s="178"/>
    </row>
    <row r="23" spans="1:30" ht="15.75" thickBot="1" x14ac:dyDescent="0.3">
      <c r="A23" s="180"/>
      <c r="B23" s="335" t="s">
        <v>72</v>
      </c>
      <c r="C23" s="334" t="s">
        <v>71</v>
      </c>
      <c r="D23" s="333">
        <f>+'[3]Vyhodnocení hospodaření PO'!P23</f>
        <v>0</v>
      </c>
      <c r="E23" s="332">
        <f>+'[3]Vyhodnocení hospodaření PO'!Q23</f>
        <v>0</v>
      </c>
      <c r="F23" s="331">
        <f>+'[3]Vyhodnocení hospodaření PO'!R23</f>
        <v>252066.11</v>
      </c>
      <c r="G23" s="330">
        <f>SUM(D23:F23)</f>
        <v>252066.11</v>
      </c>
      <c r="H23" s="325">
        <f>+'[3]Vyhodnocení hospodaření PO'!T23</f>
        <v>0</v>
      </c>
      <c r="I23" s="255">
        <f>G23+H23</f>
        <v>252066.11</v>
      </c>
      <c r="J23" s="333">
        <f>+'[2]NR 2021'!V23</f>
        <v>0</v>
      </c>
      <c r="K23" s="332">
        <f>+'[2]NR 2021'!W23</f>
        <v>0</v>
      </c>
      <c r="L23" s="331">
        <f>+'[2]NR 2021'!X23</f>
        <v>0</v>
      </c>
      <c r="M23" s="330">
        <f>SUM(J23:L23)</f>
        <v>0</v>
      </c>
      <c r="N23" s="325">
        <f>+'[2]NR 2021'!Z23</f>
        <v>0</v>
      </c>
      <c r="O23" s="255">
        <f>M23+N23</f>
        <v>0</v>
      </c>
      <c r="P23" s="333">
        <f>+'[1]Vyhodnocení hospodaření PO'!P23</f>
        <v>0</v>
      </c>
      <c r="Q23" s="332">
        <f>+'[1]Vyhodnocení hospodaření PO'!Q23</f>
        <v>0</v>
      </c>
      <c r="R23" s="331">
        <f>+'[1]Vyhodnocení hospodaření PO'!R23</f>
        <v>970000</v>
      </c>
      <c r="S23" s="330">
        <f>SUM(P23:R23)</f>
        <v>970000</v>
      </c>
      <c r="T23" s="325">
        <f>+'[1]Vyhodnocení hospodaření PO'!T23</f>
        <v>0</v>
      </c>
      <c r="U23" s="255">
        <f>S23+T23</f>
        <v>970000</v>
      </c>
      <c r="V23" s="333">
        <v>0</v>
      </c>
      <c r="W23" s="332">
        <v>0</v>
      </c>
      <c r="X23" s="331">
        <v>250000</v>
      </c>
      <c r="Y23" s="330">
        <f>SUM(V23:X23)</f>
        <v>250000</v>
      </c>
      <c r="Z23" s="325">
        <v>0</v>
      </c>
      <c r="AA23" s="255">
        <f>Y23+Z23</f>
        <v>250000</v>
      </c>
      <c r="AB23" s="254" t="e">
        <f>(AA23/O23)</f>
        <v>#DIV/0!</v>
      </c>
      <c r="AC23" s="178"/>
      <c r="AD23" s="178"/>
    </row>
    <row r="24" spans="1:30" ht="15.75" thickBot="1" x14ac:dyDescent="0.3">
      <c r="A24" s="180"/>
      <c r="B24" s="253" t="s">
        <v>70</v>
      </c>
      <c r="C24" s="324" t="s">
        <v>69</v>
      </c>
      <c r="D24" s="323">
        <f>SUM(D15:D21)</f>
        <v>130031827.89999998</v>
      </c>
      <c r="E24" s="322">
        <f>SUM(E15:E21)</f>
        <v>0</v>
      </c>
      <c r="F24" s="322">
        <f>SUM(F15:F21)</f>
        <v>23696997.579999998</v>
      </c>
      <c r="G24" s="321">
        <f>SUM(D24:F24)</f>
        <v>153728825.47999996</v>
      </c>
      <c r="H24" s="320">
        <f>SUM(H15:H21)</f>
        <v>17172325.609999999</v>
      </c>
      <c r="I24" s="320">
        <f>SUM(I15:I21)</f>
        <v>170901151.08999997</v>
      </c>
      <c r="J24" s="323">
        <f>SUM(J15:J21)</f>
        <v>129943000</v>
      </c>
      <c r="K24" s="322">
        <f>SUM(K15:K21)</f>
        <v>1261073</v>
      </c>
      <c r="L24" s="322">
        <f>SUM(L15:L21)</f>
        <v>17626342</v>
      </c>
      <c r="M24" s="321">
        <f>SUM(J24:L24)</f>
        <v>148830415</v>
      </c>
      <c r="N24" s="320">
        <f>SUM(N15:N21)</f>
        <v>15056000</v>
      </c>
      <c r="O24" s="320">
        <f>SUM(O15:O21)</f>
        <v>163886415</v>
      </c>
      <c r="P24" s="323">
        <f>SUM(P15:P21)</f>
        <v>64971500</v>
      </c>
      <c r="Q24" s="322">
        <f>SUM(Q15:Q21)</f>
        <v>0</v>
      </c>
      <c r="R24" s="322">
        <f>SUM(R15:R21)</f>
        <v>11687870.469999999</v>
      </c>
      <c r="S24" s="321">
        <f>SUM(P24:R24)</f>
        <v>76659370.469999999</v>
      </c>
      <c r="T24" s="320">
        <f>SUM(T15:T21)</f>
        <v>8530057.4799999986</v>
      </c>
      <c r="U24" s="320">
        <f>SUM(U15:U21)</f>
        <v>85189427.950000003</v>
      </c>
      <c r="V24" s="323">
        <f>SUM(V15:V21)</f>
        <v>146031000</v>
      </c>
      <c r="W24" s="322">
        <f>SUM(W15:W23)</f>
        <v>0</v>
      </c>
      <c r="X24" s="322">
        <f>SUM(X15:X21)</f>
        <v>23660000</v>
      </c>
      <c r="Y24" s="321">
        <f>SUM(Y15:Y21)</f>
        <v>169691000</v>
      </c>
      <c r="Z24" s="320">
        <f>SUM(Z15:Z21)</f>
        <v>17100000</v>
      </c>
      <c r="AA24" s="320">
        <f>SUM(AA15:AA21)</f>
        <v>186791000</v>
      </c>
      <c r="AB24" s="319">
        <f>(AA24/O24)</f>
        <v>1.1397588994792522</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f>+'[3]Vyhodnocení hospodaření PO'!P28</f>
        <v>5603658.2740627648</v>
      </c>
      <c r="E28" s="287">
        <f>+'[3]Vyhodnocení hospodaření PO'!Q28</f>
        <v>0</v>
      </c>
      <c r="F28" s="287">
        <f>+'[3]Vyhodnocení hospodaření PO'!R28</f>
        <v>1021210.5659372357</v>
      </c>
      <c r="G28" s="286">
        <f>SUM(D28:F28)</f>
        <v>6624868.8400000008</v>
      </c>
      <c r="H28" s="286">
        <f>+'[3]Vyhodnocení hospodaření PO'!T28</f>
        <v>27239.68</v>
      </c>
      <c r="I28" s="285">
        <f>G28+H28</f>
        <v>6652108.5200000005</v>
      </c>
      <c r="J28" s="288">
        <f>+'[2]NR 2021'!V28</f>
        <v>2722735.6968463352</v>
      </c>
      <c r="K28" s="287">
        <f>+'[2]NR 2021'!W28</f>
        <v>0</v>
      </c>
      <c r="L28" s="287">
        <f>+'[2]NR 2021'!X28</f>
        <v>383663.13315366482</v>
      </c>
      <c r="M28" s="286">
        <f>SUM(J28:L28)</f>
        <v>3106398.83</v>
      </c>
      <c r="N28" s="286">
        <f>+'[2]NR 2021'!Z28</f>
        <v>38000</v>
      </c>
      <c r="O28" s="285">
        <f>M28+N28</f>
        <v>3144398.83</v>
      </c>
      <c r="P28" s="288">
        <f>+'[1]Vyhodnocení hospodaření PO'!P28</f>
        <v>1284917.6059887528</v>
      </c>
      <c r="Q28" s="287">
        <f>+'[1]Vyhodnocení hospodaření PO'!Q28</f>
        <v>0</v>
      </c>
      <c r="R28" s="287">
        <f>+'[1]Vyhodnocení hospodaření PO'!R28</f>
        <v>186066.954011247</v>
      </c>
      <c r="S28" s="286">
        <f>SUM(P28:R28)</f>
        <v>1470984.5599999998</v>
      </c>
      <c r="T28" s="286">
        <f>+'[1]Vyhodnocení hospodaření PO'!T28</f>
        <v>15356.21</v>
      </c>
      <c r="U28" s="285">
        <f>S28+T28</f>
        <v>1486340.7699999998</v>
      </c>
      <c r="V28" s="288">
        <f>5600000+170000</f>
        <v>5770000</v>
      </c>
      <c r="W28" s="287">
        <v>0</v>
      </c>
      <c r="X28" s="287">
        <v>1020000</v>
      </c>
      <c r="Y28" s="286">
        <f>+V28+W28+X28</f>
        <v>6790000</v>
      </c>
      <c r="Z28" s="286">
        <v>30000</v>
      </c>
      <c r="AA28" s="285">
        <f>Y28+Z28</f>
        <v>6820000</v>
      </c>
      <c r="AB28" s="232">
        <f>(AA28/O28)</f>
        <v>2.1689360570077554</v>
      </c>
      <c r="AC28" s="178"/>
      <c r="AD28" s="178"/>
    </row>
    <row r="29" spans="1:30" x14ac:dyDescent="0.25">
      <c r="A29" s="180"/>
      <c r="B29" s="274" t="s">
        <v>56</v>
      </c>
      <c r="C29" s="284" t="s">
        <v>55</v>
      </c>
      <c r="D29" s="282">
        <f>+'[3]Vyhodnocení hospodaření PO'!P29</f>
        <v>7885946.5049045058</v>
      </c>
      <c r="E29" s="282">
        <f>+'[3]Vyhodnocení hospodaření PO'!Q29</f>
        <v>0</v>
      </c>
      <c r="F29" s="282">
        <f>+'[3]Vyhodnocení hospodaření PO'!R29</f>
        <v>1437134.7250954967</v>
      </c>
      <c r="G29" s="263">
        <f>SUM(D29:F29)</f>
        <v>9323081.2300000023</v>
      </c>
      <c r="H29" s="281">
        <f>+'[3]Vyhodnocení hospodaření PO'!T29</f>
        <v>2371005.12</v>
      </c>
      <c r="I29" s="266">
        <f>G29+H29</f>
        <v>11694086.350000001</v>
      </c>
      <c r="J29" s="283">
        <f>+'[2]NR 2021'!V29</f>
        <v>9918710.0195216071</v>
      </c>
      <c r="K29" s="282">
        <f>+'[2]NR 2021'!W29</f>
        <v>0</v>
      </c>
      <c r="L29" s="282">
        <f>+'[2]NR 2021'!X29</f>
        <v>1341289.980478392</v>
      </c>
      <c r="M29" s="263">
        <f>SUM(J29:L29)</f>
        <v>11260000</v>
      </c>
      <c r="N29" s="281">
        <f>+'[2]NR 2021'!Z29</f>
        <v>2407500</v>
      </c>
      <c r="O29" s="266">
        <f>M29+N29</f>
        <v>13667500</v>
      </c>
      <c r="P29" s="283">
        <f>+'[1]Vyhodnocení hospodaření PO'!P29</f>
        <v>6057448.8441229574</v>
      </c>
      <c r="Q29" s="282">
        <f>+'[1]Vyhodnocení hospodaření PO'!Q29</f>
        <v>0</v>
      </c>
      <c r="R29" s="282">
        <f>+'[1]Vyhodnocení hospodaření PO'!R29</f>
        <v>877169.9058770414</v>
      </c>
      <c r="S29" s="263">
        <f>SUM(P29:R29)</f>
        <v>6934618.7499999991</v>
      </c>
      <c r="T29" s="281">
        <f>+'[1]Vyhodnocení hospodaření PO'!T29</f>
        <v>1276261.77</v>
      </c>
      <c r="U29" s="266">
        <f>S29+T29</f>
        <v>8210880.5199999996</v>
      </c>
      <c r="V29" s="283">
        <f>7900000+170000+61200</f>
        <v>8131200</v>
      </c>
      <c r="W29" s="282">
        <v>0</v>
      </c>
      <c r="X29" s="282">
        <v>1430000</v>
      </c>
      <c r="Y29" s="263">
        <f>+V29+W29+X29</f>
        <v>9561200</v>
      </c>
      <c r="Z29" s="281">
        <v>2300000</v>
      </c>
      <c r="AA29" s="266">
        <f>Y29+Z29</f>
        <v>11861200</v>
      </c>
      <c r="AB29" s="232">
        <f>(AA29/O29)</f>
        <v>0.86783976586793488</v>
      </c>
      <c r="AC29" s="178"/>
      <c r="AD29" s="178"/>
    </row>
    <row r="30" spans="1:30" x14ac:dyDescent="0.25">
      <c r="A30" s="180"/>
      <c r="B30" s="274" t="s">
        <v>54</v>
      </c>
      <c r="C30" s="273" t="s">
        <v>53</v>
      </c>
      <c r="D30" s="433">
        <f>+'[3]Vyhodnocení hospodaření PO'!P30</f>
        <v>9424133.6009009741</v>
      </c>
      <c r="E30" s="267">
        <f>+'[3]Vyhodnocení hospodaření PO'!Q30</f>
        <v>0</v>
      </c>
      <c r="F30" s="267">
        <f>+'[3]Vyhodnocení hospodaření PO'!R30</f>
        <v>1717453.9090990273</v>
      </c>
      <c r="G30" s="263">
        <f>SUM(D30:F30)</f>
        <v>11141587.510000002</v>
      </c>
      <c r="H30" s="263">
        <f>+'[3]Vyhodnocení hospodaření PO'!T30</f>
        <v>74024.94</v>
      </c>
      <c r="I30" s="266">
        <f>G30+H30</f>
        <v>11215612.450000001</v>
      </c>
      <c r="J30" s="432">
        <f>+'[2]NR 2021'!V30</f>
        <v>9818446.0074540265</v>
      </c>
      <c r="K30" s="267">
        <f>+'[2]NR 2021'!W30</f>
        <v>0</v>
      </c>
      <c r="L30" s="267">
        <f>+'[2]NR 2021'!X30</f>
        <v>1081553.9925459742</v>
      </c>
      <c r="M30" s="263">
        <f>SUM(J30:L30)</f>
        <v>10900000</v>
      </c>
      <c r="N30" s="263">
        <f>+'[2]NR 2021'!Z30</f>
        <v>65000</v>
      </c>
      <c r="O30" s="266">
        <f>M30+N30</f>
        <v>10965000</v>
      </c>
      <c r="P30" s="268">
        <f>+'[1]Vyhodnocení hospodaření PO'!P30</f>
        <v>4726313.5245727282</v>
      </c>
      <c r="Q30" s="267">
        <f>+'[1]Vyhodnocení hospodaření PO'!Q30</f>
        <v>0</v>
      </c>
      <c r="R30" s="267">
        <f>+'[1]Vyhodnocení hospodaření PO'!R30</f>
        <v>684410.23542727157</v>
      </c>
      <c r="S30" s="263">
        <f>SUM(P30:R30)</f>
        <v>5410723.7599999998</v>
      </c>
      <c r="T30" s="263">
        <f>+'[1]Vyhodnocení hospodaření PO'!T30</f>
        <v>33992.18</v>
      </c>
      <c r="U30" s="266">
        <f>S30+T30</f>
        <v>5444715.9399999995</v>
      </c>
      <c r="V30" s="268">
        <f>9400000+8999872</f>
        <v>18399872</v>
      </c>
      <c r="W30" s="267">
        <v>0</v>
      </c>
      <c r="X30" s="267">
        <v>1700000</v>
      </c>
      <c r="Y30" s="263">
        <f>+V30+W30+X30</f>
        <v>20099872</v>
      </c>
      <c r="Z30" s="263">
        <v>70000</v>
      </c>
      <c r="AA30" s="266">
        <f>Y30+Z30</f>
        <v>20169872</v>
      </c>
      <c r="AB30" s="232">
        <f>(AA30/O30)</f>
        <v>1.8394776105791153</v>
      </c>
      <c r="AC30" s="178"/>
      <c r="AD30" s="178"/>
    </row>
    <row r="31" spans="1:30" x14ac:dyDescent="0.25">
      <c r="A31" s="180"/>
      <c r="B31" s="274" t="s">
        <v>51</v>
      </c>
      <c r="C31" s="273" t="s">
        <v>50</v>
      </c>
      <c r="D31" s="433">
        <f>+'[3]Vyhodnocení hospodaření PO'!P31</f>
        <v>27541815.265608054</v>
      </c>
      <c r="E31" s="267">
        <f>+'[3]Vyhodnocení hospodaření PO'!Q31</f>
        <v>0</v>
      </c>
      <c r="F31" s="267">
        <f>+'[3]Vyhodnocení hospodaření PO'!R31</f>
        <v>5019219.8343919516</v>
      </c>
      <c r="G31" s="263">
        <f>SUM(D31:F31)</f>
        <v>32561035.100000005</v>
      </c>
      <c r="H31" s="263">
        <f>+'[3]Vyhodnocení hospodaření PO'!T31</f>
        <v>3965371.5</v>
      </c>
      <c r="I31" s="266">
        <f>G31+H31</f>
        <v>36526406.600000009</v>
      </c>
      <c r="J31" s="432">
        <f>+'[2]NR 2021'!V31</f>
        <v>25698764.067437712</v>
      </c>
      <c r="K31" s="267">
        <f>+'[2]NR 2021'!W31</f>
        <v>0</v>
      </c>
      <c r="L31" s="267">
        <f>+'[2]NR 2021'!X31</f>
        <v>3621235.9325622888</v>
      </c>
      <c r="M31" s="263">
        <f>SUM(J31:L31)</f>
        <v>29320000</v>
      </c>
      <c r="N31" s="263">
        <f>+'[2]NR 2021'!Z31</f>
        <v>4296180</v>
      </c>
      <c r="O31" s="266">
        <f>M31+N31</f>
        <v>33616180</v>
      </c>
      <c r="P31" s="268">
        <f>+'[1]Vyhodnocení hospodaření PO'!P31</f>
        <v>14182542.556149397</v>
      </c>
      <c r="Q31" s="267">
        <f>+'[1]Vyhodnocení hospodaření PO'!Q31</f>
        <v>0</v>
      </c>
      <c r="R31" s="267">
        <f>+'[1]Vyhodnocení hospodaření PO'!R31</f>
        <v>2053752.3038506038</v>
      </c>
      <c r="S31" s="263">
        <f>SUM(P31:R31)</f>
        <v>16236294.860000001</v>
      </c>
      <c r="T31" s="263">
        <f>+'[1]Vyhodnocení hospodaření PO'!T31</f>
        <v>1926141.25</v>
      </c>
      <c r="U31" s="266">
        <f>S31+T31</f>
        <v>18162436.109999999</v>
      </c>
      <c r="V31" s="268">
        <f>27500000+184789</f>
        <v>27684789</v>
      </c>
      <c r="W31" s="267">
        <v>0</v>
      </c>
      <c r="X31" s="267">
        <v>5000000</v>
      </c>
      <c r="Y31" s="263">
        <f>+V31+W31+X31</f>
        <v>32684789</v>
      </c>
      <c r="Z31" s="263">
        <v>4000000</v>
      </c>
      <c r="AA31" s="266">
        <f>Y31+Z31</f>
        <v>36684789</v>
      </c>
      <c r="AB31" s="232">
        <f>(AA31/O31)</f>
        <v>1.091283691365289</v>
      </c>
      <c r="AC31" s="178"/>
      <c r="AD31" s="178"/>
    </row>
    <row r="32" spans="1:30" x14ac:dyDescent="0.25">
      <c r="A32" s="180"/>
      <c r="B32" s="274" t="s">
        <v>49</v>
      </c>
      <c r="C32" s="273" t="s">
        <v>48</v>
      </c>
      <c r="D32" s="433">
        <f>+'[3]Vyhodnocení hospodaření PO'!P32</f>
        <v>46438537.308237344</v>
      </c>
      <c r="E32" s="267">
        <f>+'[3]Vyhodnocení hospodaření PO'!Q32</f>
        <v>0</v>
      </c>
      <c r="F32" s="267">
        <f>+'[3]Vyhodnocení hospodaření PO'!R32</f>
        <v>8462958.061762657</v>
      </c>
      <c r="G32" s="263">
        <f>SUM(D32:F32)</f>
        <v>54901495.370000005</v>
      </c>
      <c r="H32" s="263">
        <f>+'[3]Vyhodnocení hospodaření PO'!T32</f>
        <v>3276445.63</v>
      </c>
      <c r="I32" s="266">
        <f>G32+H32</f>
        <v>58177941.000000007</v>
      </c>
      <c r="J32" s="432">
        <f>+'[2]NR 2021'!V32</f>
        <v>51600269.728187494</v>
      </c>
      <c r="K32" s="267">
        <f>+'[2]NR 2021'!W32</f>
        <v>450000</v>
      </c>
      <c r="L32" s="267">
        <f>+'[2]NR 2021'!X32</f>
        <v>7334450.2694624998</v>
      </c>
      <c r="M32" s="263">
        <f>SUM(J32:L32)</f>
        <v>59384719.997649997</v>
      </c>
      <c r="N32" s="263">
        <f>+'[2]NR 2021'!Z32</f>
        <v>2711000</v>
      </c>
      <c r="O32" s="266">
        <f>M32+N32</f>
        <v>62095719.997649997</v>
      </c>
      <c r="P32" s="275">
        <f>+'[1]Vyhodnocení hospodaření PO'!P32</f>
        <v>22471171.798115004</v>
      </c>
      <c r="Q32" s="267">
        <f>+'[1]Vyhodnocení hospodaření PO'!Q32</f>
        <v>0</v>
      </c>
      <c r="R32" s="267">
        <f>+'[1]Vyhodnocení hospodaření PO'!R32</f>
        <v>3254016.0318849995</v>
      </c>
      <c r="S32" s="263">
        <f>SUM(P32:R32)</f>
        <v>25725187.830000002</v>
      </c>
      <c r="T32" s="263">
        <f>+'[1]Vyhodnocení hospodaření PO'!T32</f>
        <v>1573941.17</v>
      </c>
      <c r="U32" s="266">
        <f>S32+T32</f>
        <v>27299129</v>
      </c>
      <c r="V32" s="268">
        <f>+V33+V34</f>
        <v>55741600</v>
      </c>
      <c r="W32" s="267">
        <v>0</v>
      </c>
      <c r="X32" s="267">
        <v>8100000</v>
      </c>
      <c r="Y32" s="263">
        <f>+V32+W32+X32</f>
        <v>63841600</v>
      </c>
      <c r="Z32" s="263">
        <v>3300000</v>
      </c>
      <c r="AA32" s="266">
        <f>Y32+Z32</f>
        <v>67141600</v>
      </c>
      <c r="AB32" s="232">
        <f>(AA32/O32)</f>
        <v>1.0812597068290852</v>
      </c>
      <c r="AC32" s="178"/>
      <c r="AD32" s="178"/>
    </row>
    <row r="33" spans="1:30" x14ac:dyDescent="0.25">
      <c r="A33" s="180"/>
      <c r="B33" s="274" t="s">
        <v>47</v>
      </c>
      <c r="C33" s="280" t="s">
        <v>46</v>
      </c>
      <c r="D33" s="433">
        <f>+'[3]Vyhodnocení hospodaření PO'!P33</f>
        <v>45513977.13478931</v>
      </c>
      <c r="E33" s="267">
        <f>+'[3]Vyhodnocení hospodaření PO'!Q33</f>
        <v>0</v>
      </c>
      <c r="F33" s="267">
        <f>+'[3]Vyhodnocení hospodaření PO'!R33</f>
        <v>8294466.2352106879</v>
      </c>
      <c r="G33" s="263">
        <f>SUM(D33:F33)</f>
        <v>53808443.369999997</v>
      </c>
      <c r="H33" s="263">
        <f>+'[3]Vyhodnocení hospodaření PO'!T33</f>
        <v>3276445.63</v>
      </c>
      <c r="I33" s="266">
        <f>G33+H33</f>
        <v>57084889</v>
      </c>
      <c r="J33" s="432">
        <f>+'[2]NR 2021'!V33</f>
        <v>50903458.083112016</v>
      </c>
      <c r="K33" s="267">
        <f>+'[2]NR 2021'!W33</f>
        <v>450000</v>
      </c>
      <c r="L33" s="267">
        <f>+'[2]NR 2021'!X33</f>
        <v>7236261.9145379765</v>
      </c>
      <c r="M33" s="263">
        <f>SUM(J33:L33)</f>
        <v>58589719.99764999</v>
      </c>
      <c r="N33" s="263">
        <f>+'[2]NR 2021'!Z33</f>
        <v>2711000</v>
      </c>
      <c r="O33" s="266">
        <f>M33+N33</f>
        <v>61300719.99764999</v>
      </c>
      <c r="P33" s="275">
        <f>+'[1]Vyhodnocení hospodaření PO'!P33</f>
        <v>22117195.556472566</v>
      </c>
      <c r="Q33" s="267">
        <f>+'[1]Vyhodnocení hospodaření PO'!Q33</f>
        <v>0</v>
      </c>
      <c r="R33" s="267">
        <f>+'[1]Vyhodnocení hospodaření PO'!R33</f>
        <v>3202757.2735274355</v>
      </c>
      <c r="S33" s="263">
        <f>SUM(P33:R33)</f>
        <v>25319952.830000002</v>
      </c>
      <c r="T33" s="263">
        <f>+'[1]Vyhodnocení hospodaření PO'!T33</f>
        <v>1573941.17</v>
      </c>
      <c r="U33" s="266">
        <f>S33+T33</f>
        <v>26893894</v>
      </c>
      <c r="V33" s="268">
        <f>50100000+3007000+816000+918600</f>
        <v>54841600</v>
      </c>
      <c r="W33" s="267">
        <v>0</v>
      </c>
      <c r="X33" s="267">
        <v>7900000</v>
      </c>
      <c r="Y33" s="263">
        <f>+V33+W33+X33</f>
        <v>62741600</v>
      </c>
      <c r="Z33" s="263">
        <v>3300000</v>
      </c>
      <c r="AA33" s="266">
        <f>Y33+Z33</f>
        <v>66041600</v>
      </c>
      <c r="AB33" s="232">
        <f>(AA33/O33)</f>
        <v>1.0773380802465575</v>
      </c>
      <c r="AC33" s="178"/>
      <c r="AD33" s="178"/>
    </row>
    <row r="34" spans="1:30" x14ac:dyDescent="0.25">
      <c r="A34" s="180"/>
      <c r="B34" s="274" t="s">
        <v>45</v>
      </c>
      <c r="C34" s="278" t="s">
        <v>44</v>
      </c>
      <c r="D34" s="433">
        <f>+'[3]Vyhodnocení hospodaření PO'!P34</f>
        <v>924560.1734480306</v>
      </c>
      <c r="E34" s="267">
        <f>+'[3]Vyhodnocení hospodaření PO'!Q34</f>
        <v>0</v>
      </c>
      <c r="F34" s="267">
        <f>+'[3]Vyhodnocení hospodaření PO'!R34</f>
        <v>168491.82655196948</v>
      </c>
      <c r="G34" s="263">
        <f>SUM(D34:F34)</f>
        <v>1093052</v>
      </c>
      <c r="H34" s="263">
        <f>+'[3]Vyhodnocení hospodaření PO'!T34</f>
        <v>0</v>
      </c>
      <c r="I34" s="266">
        <f>G34+H34</f>
        <v>1093052</v>
      </c>
      <c r="J34" s="432">
        <f>+'[2]NR 2021'!V34</f>
        <v>696811.64507547684</v>
      </c>
      <c r="K34" s="267">
        <f>+'[2]NR 2021'!W34</f>
        <v>0</v>
      </c>
      <c r="L34" s="267">
        <f>+'[2]NR 2021'!X34</f>
        <v>98188.35492452317</v>
      </c>
      <c r="M34" s="263">
        <f>SUM(J34:L34)</f>
        <v>795000</v>
      </c>
      <c r="N34" s="263">
        <f>+'[2]NR 2021'!Z34</f>
        <v>0</v>
      </c>
      <c r="O34" s="266">
        <f>M34+N34</f>
        <v>795000</v>
      </c>
      <c r="P34" s="275">
        <f>+'[1]Vyhodnocení hospodaření PO'!P34</f>
        <v>353976.24164243595</v>
      </c>
      <c r="Q34" s="267">
        <f>+'[1]Vyhodnocení hospodaření PO'!Q34</f>
        <v>0</v>
      </c>
      <c r="R34" s="267">
        <f>+'[1]Vyhodnocení hospodaření PO'!R34</f>
        <v>51258.75835756406</v>
      </c>
      <c r="S34" s="263">
        <f>SUM(P34:R34)</f>
        <v>405235</v>
      </c>
      <c r="T34" s="263">
        <f>+'[1]Vyhodnocení hospodaření PO'!T34</f>
        <v>0</v>
      </c>
      <c r="U34" s="266">
        <f>S34+T34</f>
        <v>405235</v>
      </c>
      <c r="V34" s="268">
        <v>900000</v>
      </c>
      <c r="W34" s="267">
        <v>0</v>
      </c>
      <c r="X34" s="267">
        <v>200000</v>
      </c>
      <c r="Y34" s="263">
        <f>+V34+W34+X34</f>
        <v>1100000</v>
      </c>
      <c r="Z34" s="263">
        <v>0</v>
      </c>
      <c r="AA34" s="266">
        <f>Y34+Z34</f>
        <v>1100000</v>
      </c>
      <c r="AB34" s="232">
        <f>(AA34/O34)</f>
        <v>1.3836477987421383</v>
      </c>
      <c r="AC34" s="178"/>
      <c r="AD34" s="178"/>
    </row>
    <row r="35" spans="1:30" x14ac:dyDescent="0.25">
      <c r="A35" s="180"/>
      <c r="B35" s="274" t="s">
        <v>43</v>
      </c>
      <c r="C35" s="273" t="s">
        <v>42</v>
      </c>
      <c r="D35" s="433">
        <f>+'[3]Vyhodnocení hospodaření PO'!P35</f>
        <v>16765396.554696765</v>
      </c>
      <c r="E35" s="267">
        <f>+'[3]Vyhodnocení hospodaření PO'!Q35</f>
        <v>0</v>
      </c>
      <c r="F35" s="267">
        <f>+'[3]Vyhodnocení hospodaření PO'!R35</f>
        <v>3055325.5153032369</v>
      </c>
      <c r="G35" s="263">
        <f>SUM(D35:F35)</f>
        <v>19820722.07</v>
      </c>
      <c r="H35" s="263">
        <f>+'[3]Vyhodnocení hospodaření PO'!T35</f>
        <v>1181605.53</v>
      </c>
      <c r="I35" s="266">
        <f>G35+H35</f>
        <v>21002327.600000001</v>
      </c>
      <c r="J35" s="432">
        <f>+'[2]NR 2021'!V35</f>
        <v>18633996.562691126</v>
      </c>
      <c r="K35" s="267">
        <f>+'[2]NR 2021'!W35</f>
        <v>0</v>
      </c>
      <c r="L35" s="267">
        <f>+'[2]NR 2021'!X35</f>
        <v>2625733.1964675752</v>
      </c>
      <c r="M35" s="263">
        <f>SUM(J35:L35)</f>
        <v>21259729.759158701</v>
      </c>
      <c r="N35" s="263">
        <f>+'[2]NR 2021'!Z35</f>
        <v>978838</v>
      </c>
      <c r="O35" s="266">
        <f>M35+N35</f>
        <v>22238567.759158701</v>
      </c>
      <c r="P35" s="275">
        <f>+'[1]Vyhodnocení hospodaření PO'!P35</f>
        <v>7864334.9759267131</v>
      </c>
      <c r="Q35" s="267">
        <f>+'[1]Vyhodnocení hospodaření PO'!Q35</f>
        <v>0</v>
      </c>
      <c r="R35" s="267">
        <f>+'[1]Vyhodnocení hospodaření PO'!R35</f>
        <v>1138822.3240732881</v>
      </c>
      <c r="S35" s="263">
        <f>SUM(P35:R35)</f>
        <v>9003157.3000000007</v>
      </c>
      <c r="T35" s="263">
        <f>+'[1]Vyhodnocení hospodaření PO'!T35</f>
        <v>576375.78</v>
      </c>
      <c r="U35" s="266">
        <f>S35+T35</f>
        <v>9579533.0800000001</v>
      </c>
      <c r="V35" s="268">
        <f>16900000+1083000+292128+385411</f>
        <v>18660539</v>
      </c>
      <c r="W35" s="267">
        <v>0</v>
      </c>
      <c r="X35" s="267">
        <v>2670000</v>
      </c>
      <c r="Y35" s="263">
        <f>+V35+W35+X35</f>
        <v>21330539</v>
      </c>
      <c r="Z35" s="263">
        <v>1150000</v>
      </c>
      <c r="AA35" s="266">
        <f>Y35+Z35</f>
        <v>22480539</v>
      </c>
      <c r="AB35" s="232">
        <f>(AA35/O35)</f>
        <v>1.010880702546217</v>
      </c>
      <c r="AC35" s="178"/>
      <c r="AD35" s="178"/>
    </row>
    <row r="36" spans="1:30" x14ac:dyDescent="0.25">
      <c r="A36" s="180"/>
      <c r="B36" s="274" t="s">
        <v>41</v>
      </c>
      <c r="C36" s="273" t="s">
        <v>40</v>
      </c>
      <c r="D36" s="433">
        <f>+'[3]Vyhodnocení hospodaření PO'!P36</f>
        <v>57071.323251671027</v>
      </c>
      <c r="E36" s="267">
        <f>+'[3]Vyhodnocení hospodaření PO'!Q36</f>
        <v>0</v>
      </c>
      <c r="F36" s="267">
        <f>+'[3]Vyhodnocení hospodaření PO'!R36</f>
        <v>10400.676748328979</v>
      </c>
      <c r="G36" s="263">
        <f>SUM(D36:F36)</f>
        <v>67472</v>
      </c>
      <c r="H36" s="263">
        <f>+'[3]Vyhodnocení hospodaření PO'!T36</f>
        <v>249384</v>
      </c>
      <c r="I36" s="266">
        <f>G36+H36</f>
        <v>316856</v>
      </c>
      <c r="J36" s="432">
        <f>+'[2]NR 2021'!V36</f>
        <v>64071.611641531264</v>
      </c>
      <c r="K36" s="267">
        <f>+'[2]NR 2021'!W36</f>
        <v>0</v>
      </c>
      <c r="L36" s="267">
        <f>+'[2]NR 2021'!X36</f>
        <v>9028.3883584687355</v>
      </c>
      <c r="M36" s="263">
        <f>SUM(J36:L36)</f>
        <v>73100</v>
      </c>
      <c r="N36" s="263">
        <f>+'[2]NR 2021'!Z36</f>
        <v>360100</v>
      </c>
      <c r="O36" s="266">
        <f>M36+N36</f>
        <v>433200</v>
      </c>
      <c r="P36" s="268">
        <f>+'[1]Vyhodnocení hospodaření PO'!P36</f>
        <v>55845.149310114415</v>
      </c>
      <c r="Q36" s="267">
        <f>+'[1]Vyhodnocení hospodaření PO'!Q36</f>
        <v>0</v>
      </c>
      <c r="R36" s="267">
        <f>+'[1]Vyhodnocení hospodaření PO'!R36</f>
        <v>8086.8506898855858</v>
      </c>
      <c r="S36" s="263">
        <f>SUM(P36:R36)</f>
        <v>63932</v>
      </c>
      <c r="T36" s="263">
        <f>+'[1]Vyhodnocení hospodaření PO'!T36</f>
        <v>3000</v>
      </c>
      <c r="U36" s="266">
        <f>S36+T36</f>
        <v>66932</v>
      </c>
      <c r="V36" s="268">
        <v>60000</v>
      </c>
      <c r="W36" s="267">
        <v>0</v>
      </c>
      <c r="X36" s="267">
        <v>10000</v>
      </c>
      <c r="Y36" s="263">
        <f>+V36+W36+X36</f>
        <v>70000</v>
      </c>
      <c r="Z36" s="263">
        <v>250000</v>
      </c>
      <c r="AA36" s="266">
        <f>Y36+Z36</f>
        <v>320000</v>
      </c>
      <c r="AB36" s="232">
        <f>(AA36/O36)</f>
        <v>0.73868882733148666</v>
      </c>
      <c r="AC36" s="178"/>
      <c r="AD36" s="178"/>
    </row>
    <row r="37" spans="1:30" x14ac:dyDescent="0.25">
      <c r="A37" s="180"/>
      <c r="B37" s="274" t="s">
        <v>39</v>
      </c>
      <c r="C37" s="273" t="s">
        <v>38</v>
      </c>
      <c r="D37" s="433">
        <f>+'[3]Vyhodnocení hospodaření PO'!P37</f>
        <v>12484529.717091829</v>
      </c>
      <c r="E37" s="267">
        <f>+'[3]Vyhodnocení hospodaření PO'!Q37</f>
        <v>0</v>
      </c>
      <c r="F37" s="267">
        <f>+'[3]Vyhodnocení hospodaření PO'!R37</f>
        <v>2275180.4329081727</v>
      </c>
      <c r="G37" s="263">
        <f>SUM(D37:F37)</f>
        <v>14759710.150000002</v>
      </c>
      <c r="H37" s="263">
        <f>+'[3]Vyhodnocení hospodaření PO'!T37</f>
        <v>993766.85000000009</v>
      </c>
      <c r="I37" s="266">
        <f>G37+H37</f>
        <v>15753477.000000002</v>
      </c>
      <c r="J37" s="432">
        <f>+'[2]NR 2021'!V37</f>
        <v>5661966.6491537709</v>
      </c>
      <c r="K37" s="267">
        <f>+'[2]NR 2021'!W37</f>
        <v>0</v>
      </c>
      <c r="L37" s="267">
        <f>+'[2]NR 2021'!X37</f>
        <v>1733199.350846228</v>
      </c>
      <c r="M37" s="263">
        <f>SUM(J37:L37)</f>
        <v>7395165.9999999991</v>
      </c>
      <c r="N37" s="263">
        <f>+'[2]NR 2021'!Z37</f>
        <v>1288200</v>
      </c>
      <c r="O37" s="266">
        <f>M37+N37</f>
        <v>8683366</v>
      </c>
      <c r="P37" s="268">
        <f>+'[1]Vyhodnocení hospodaření PO'!P37</f>
        <v>6854027.2788760373</v>
      </c>
      <c r="Q37" s="267">
        <f>+'[1]Vyhodnocení hospodaření PO'!Q37</f>
        <v>0</v>
      </c>
      <c r="R37" s="267">
        <f>+'[1]Vyhodnocení hospodaření PO'!R37</f>
        <v>992521.211123963</v>
      </c>
      <c r="S37" s="263">
        <f>SUM(P37:R37)</f>
        <v>7846548.4900000002</v>
      </c>
      <c r="T37" s="263">
        <f>+'[1]Vyhodnocení hospodaření PO'!T37</f>
        <v>410916.51</v>
      </c>
      <c r="U37" s="266">
        <f>S37+T37</f>
        <v>8257465</v>
      </c>
      <c r="V37" s="268">
        <v>12450000</v>
      </c>
      <c r="W37" s="267">
        <v>0</v>
      </c>
      <c r="X37" s="267">
        <v>2250000</v>
      </c>
      <c r="Y37" s="263">
        <f>+V37+W37+X37-3970000</f>
        <v>10730000</v>
      </c>
      <c r="Z37" s="263">
        <v>1000000</v>
      </c>
      <c r="AA37" s="266">
        <f>Y37+Z37</f>
        <v>11730000</v>
      </c>
      <c r="AB37" s="232">
        <f>(AA37/O37)</f>
        <v>1.350858641683421</v>
      </c>
      <c r="AC37" s="178"/>
      <c r="AD37" s="178"/>
    </row>
    <row r="38" spans="1:30" ht="15.75" thickBot="1" x14ac:dyDescent="0.3">
      <c r="A38" s="180"/>
      <c r="B38" s="265" t="s">
        <v>37</v>
      </c>
      <c r="C38" s="264" t="s">
        <v>36</v>
      </c>
      <c r="D38" s="431">
        <f>+'[3]Vyhodnocení hospodaření PO'!P38</f>
        <v>6165910.99925608</v>
      </c>
      <c r="E38" s="257">
        <f>+'[3]Vyhodnocení hospodaření PO'!Q38</f>
        <v>0</v>
      </c>
      <c r="F38" s="257">
        <f>+'[3]Vyhodnocení hospodaření PO'!R38</f>
        <v>1123675.4907439598</v>
      </c>
      <c r="G38" s="263">
        <f>SUM(D38:F38)</f>
        <v>7289586.4900000393</v>
      </c>
      <c r="H38" s="256">
        <f>+'[3]Vyhodnocení hospodaření PO'!T38</f>
        <v>2227986.36</v>
      </c>
      <c r="I38" s="255">
        <f>G38+H38</f>
        <v>9517572.8500000387</v>
      </c>
      <c r="J38" s="258">
        <f>+'[2]NR 2021'!V38</f>
        <v>6312763.2684331294</v>
      </c>
      <c r="K38" s="257">
        <f>+'[2]NR 2021'!W38</f>
        <v>0</v>
      </c>
      <c r="L38" s="257">
        <f>+'[2]NR 2021'!X38</f>
        <v>889537.14355371543</v>
      </c>
      <c r="M38" s="256">
        <f>SUM(J38:L38)</f>
        <v>7202300.4119868446</v>
      </c>
      <c r="N38" s="256">
        <f>+'[2]NR 2021'!Z38</f>
        <v>1840182</v>
      </c>
      <c r="O38" s="255">
        <f>M38+N38</f>
        <v>9042482.4119868446</v>
      </c>
      <c r="P38" s="258">
        <f>+'[1]Vyhodnocení hospodaření PO'!P38</f>
        <v>4660835.6897275271</v>
      </c>
      <c r="Q38" s="257">
        <f>+'[1]Vyhodnocení hospodaření PO'!Q38</f>
        <v>0</v>
      </c>
      <c r="R38" s="257">
        <f>+'[1]Vyhodnocení hospodaření PO'!R38</f>
        <v>674928.49027247401</v>
      </c>
      <c r="S38" s="256">
        <f>SUM(P38:R38)</f>
        <v>5335764.1800000016</v>
      </c>
      <c r="T38" s="256">
        <f>+'[1]Vyhodnocení hospodaření PO'!T38</f>
        <v>1062679.4300000002</v>
      </c>
      <c r="U38" s="255">
        <f>S38+T38</f>
        <v>6398443.6100000013</v>
      </c>
      <c r="V38" s="258">
        <v>6200000</v>
      </c>
      <c r="W38" s="257">
        <v>0</v>
      </c>
      <c r="X38" s="257">
        <v>1100000</v>
      </c>
      <c r="Y38" s="256">
        <f>+V38+W38+X38</f>
        <v>7300000</v>
      </c>
      <c r="Z38" s="256">
        <v>2283000</v>
      </c>
      <c r="AA38" s="255">
        <f>Y38+Z38</f>
        <v>9583000</v>
      </c>
      <c r="AB38" s="254">
        <f>(AA38/O38)</f>
        <v>1.0597753540882355</v>
      </c>
      <c r="AC38" s="178"/>
      <c r="AD38" s="178"/>
    </row>
    <row r="39" spans="1:30" ht="15.75" thickBot="1" x14ac:dyDescent="0.3">
      <c r="A39" s="180"/>
      <c r="B39" s="253" t="s">
        <v>35</v>
      </c>
      <c r="C39" s="252" t="s">
        <v>34</v>
      </c>
      <c r="D39" s="251">
        <f>SUM(D35:D38)+SUM(D28:D32)</f>
        <v>132366999.54800999</v>
      </c>
      <c r="E39" s="251">
        <f>SUM(E35:E38)+SUM(E28:E32)</f>
        <v>0</v>
      </c>
      <c r="F39" s="251">
        <f>SUM(F35:F38)+SUM(F28:F32)</f>
        <v>24122559.211990066</v>
      </c>
      <c r="G39" s="250">
        <f>SUM(D39:F39)</f>
        <v>156489558.76000005</v>
      </c>
      <c r="H39" s="249">
        <f>SUM(H28:H32)+SUM(H35:H38)</f>
        <v>14366829.610000001</v>
      </c>
      <c r="I39" s="248">
        <f>SUM(I35:I38)+SUM(I28:I32)</f>
        <v>170856388.37000006</v>
      </c>
      <c r="J39" s="251">
        <f>SUM(J35:J38)+SUM(J28:J32)</f>
        <v>130431723.61136673</v>
      </c>
      <c r="K39" s="251">
        <f>SUM(K35:K38)+SUM(K28:K32)</f>
        <v>450000</v>
      </c>
      <c r="L39" s="251">
        <f>SUM(L35:L38)+SUM(L28:L32)</f>
        <v>19019691.387428805</v>
      </c>
      <c r="M39" s="250">
        <f>SUM(J39:L39)</f>
        <v>149901414.99879554</v>
      </c>
      <c r="N39" s="249">
        <f>SUM(N28:N32)+SUM(N35:N38)</f>
        <v>13985000</v>
      </c>
      <c r="O39" s="248">
        <f>SUM(O35:O38)+SUM(O28:O32)</f>
        <v>163886414.99879554</v>
      </c>
      <c r="P39" s="251">
        <f>SUM(P35:P38)+SUM(P28:P32)</f>
        <v>68157437.422789231</v>
      </c>
      <c r="Q39" s="251">
        <f>SUM(Q35:Q38)+SUM(Q28:Q32)</f>
        <v>0</v>
      </c>
      <c r="R39" s="251">
        <f>SUM(R35:R38)+SUM(R28:R32)</f>
        <v>9869774.3072107732</v>
      </c>
      <c r="S39" s="250">
        <f>SUM(P39:R39)</f>
        <v>78027211.730000004</v>
      </c>
      <c r="T39" s="249">
        <f>SUM(T28:T32)+SUM(T35:T38)</f>
        <v>6878664.3000000007</v>
      </c>
      <c r="U39" s="248">
        <f>SUM(U35:U38)+SUM(U28:U32)</f>
        <v>84905876.030000001</v>
      </c>
      <c r="V39" s="251">
        <f>SUM(V35:V38)+SUM(V28:V32)</f>
        <v>153098000</v>
      </c>
      <c r="W39" s="251">
        <f>SUM(W35:W38)+SUM(W28:W32)</f>
        <v>0</v>
      </c>
      <c r="X39" s="251">
        <f>SUM(X35:X38)+SUM(X28:X32)</f>
        <v>23280000</v>
      </c>
      <c r="Y39" s="250">
        <f>SUM(Y35:Y38)+SUM(Y28:Y32)</f>
        <v>172408000</v>
      </c>
      <c r="Z39" s="249">
        <f>SUM(Z35:Z38)+SUM(Z28:Z32)</f>
        <v>14383000</v>
      </c>
      <c r="AA39" s="248">
        <f>SUM(AA35:AA38)+SUM(AA28:AA32)</f>
        <v>186791000</v>
      </c>
      <c r="AB39" s="247">
        <f>(AA39/O39)</f>
        <v>1.1397588994876287</v>
      </c>
      <c r="AC39" s="178"/>
      <c r="AD39" s="178"/>
    </row>
    <row r="40" spans="1:30" ht="19.5" thickBot="1" x14ac:dyDescent="0.35">
      <c r="A40" s="180"/>
      <c r="B40" s="246" t="s">
        <v>33</v>
      </c>
      <c r="C40" s="245" t="s">
        <v>32</v>
      </c>
      <c r="D40" s="244">
        <f>D24-D39</f>
        <v>-2335171.6480100155</v>
      </c>
      <c r="E40" s="244">
        <f>E24-E39</f>
        <v>0</v>
      </c>
      <c r="F40" s="244">
        <f>F24-F39</f>
        <v>-425561.63199006766</v>
      </c>
      <c r="G40" s="243">
        <f>G24-G39</f>
        <v>-2760733.2800000906</v>
      </c>
      <c r="H40" s="243">
        <f>H24-H39</f>
        <v>2805495.9999999981</v>
      </c>
      <c r="I40" s="242">
        <f>I24-I39</f>
        <v>44762.719999909401</v>
      </c>
      <c r="J40" s="244">
        <f>J24-J39</f>
        <v>-488723.61136673391</v>
      </c>
      <c r="K40" s="244">
        <f>K24-K39</f>
        <v>811073</v>
      </c>
      <c r="L40" s="244">
        <f>L24-L39</f>
        <v>-1393349.3874288052</v>
      </c>
      <c r="M40" s="243">
        <f>M24-M39</f>
        <v>-1070999.9987955391</v>
      </c>
      <c r="N40" s="243">
        <f>N24-N39</f>
        <v>1071000</v>
      </c>
      <c r="O40" s="242">
        <f>O24-O39</f>
        <v>1.2044608592987061E-3</v>
      </c>
      <c r="P40" s="244">
        <f>P24-P39</f>
        <v>-3185937.4227892309</v>
      </c>
      <c r="Q40" s="244">
        <f>Q24-Q39</f>
        <v>0</v>
      </c>
      <c r="R40" s="244">
        <f>R24-R39</f>
        <v>1818096.1627892256</v>
      </c>
      <c r="S40" s="243">
        <f>S24-S39</f>
        <v>-1367841.2600000054</v>
      </c>
      <c r="T40" s="243">
        <f>T24-T39</f>
        <v>1651393.1799999978</v>
      </c>
      <c r="U40" s="242">
        <f>U24-U39</f>
        <v>283551.92000000179</v>
      </c>
      <c r="V40" s="244">
        <f>V24-V39</f>
        <v>-7067000</v>
      </c>
      <c r="W40" s="244">
        <f>W24-W39</f>
        <v>0</v>
      </c>
      <c r="X40" s="244">
        <f>X24-X39</f>
        <v>380000</v>
      </c>
      <c r="Y40" s="243">
        <f>Y24-Y39</f>
        <v>-2717000</v>
      </c>
      <c r="Z40" s="243">
        <f>Z24-Z39</f>
        <v>2717000</v>
      </c>
      <c r="AA40" s="242">
        <f>AA24-AA39</f>
        <v>0</v>
      </c>
      <c r="AB40" s="241">
        <f>(AA40/O40)</f>
        <v>0</v>
      </c>
      <c r="AC40" s="178"/>
      <c r="AD40" s="178"/>
    </row>
    <row r="41" spans="1:30" ht="15.75" thickBot="1" x14ac:dyDescent="0.3">
      <c r="A41" s="180"/>
      <c r="B41" s="240" t="s">
        <v>31</v>
      </c>
      <c r="C41" s="239" t="s">
        <v>30</v>
      </c>
      <c r="D41" s="237"/>
      <c r="E41" s="236"/>
      <c r="F41" s="236"/>
      <c r="G41" s="235"/>
      <c r="H41" s="238"/>
      <c r="I41" s="233">
        <f>I40-D16</f>
        <v>-129987065.18000007</v>
      </c>
      <c r="J41" s="237"/>
      <c r="K41" s="236"/>
      <c r="L41" s="236"/>
      <c r="M41" s="235"/>
      <c r="N41" s="234"/>
      <c r="O41" s="233">
        <f>O40-J16</f>
        <v>-129942999.99879554</v>
      </c>
      <c r="P41" s="237"/>
      <c r="Q41" s="236"/>
      <c r="R41" s="236"/>
      <c r="S41" s="235"/>
      <c r="T41" s="234"/>
      <c r="U41" s="233">
        <f>U40-P16</f>
        <v>-64687948.079999998</v>
      </c>
      <c r="V41" s="237"/>
      <c r="W41" s="236"/>
      <c r="X41" s="236"/>
      <c r="Y41" s="235"/>
      <c r="Z41" s="234"/>
      <c r="AA41" s="233">
        <f>AA40-V16</f>
        <v>-146031000</v>
      </c>
      <c r="AB41" s="232">
        <f>(AA41/O41)</f>
        <v>1.1238081312679682</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0</v>
      </c>
      <c r="E44" s="225">
        <v>0</v>
      </c>
      <c r="F44" s="224">
        <v>0</v>
      </c>
      <c r="G44" s="202"/>
      <c r="H44" s="202"/>
      <c r="I44" s="201"/>
      <c r="J44" s="214">
        <v>0</v>
      </c>
      <c r="K44" s="225">
        <v>0</v>
      </c>
      <c r="L44" s="224">
        <v>0</v>
      </c>
      <c r="M44" s="223"/>
      <c r="N44" s="223"/>
      <c r="O44" s="223"/>
      <c r="P44" s="214">
        <v>0</v>
      </c>
      <c r="Q44" s="225">
        <v>0</v>
      </c>
      <c r="R44" s="224">
        <v>0</v>
      </c>
      <c r="S44" s="178"/>
      <c r="T44" s="178"/>
      <c r="U44" s="178"/>
      <c r="V44" s="214">
        <v>0</v>
      </c>
      <c r="W44" s="225">
        <v>0</v>
      </c>
      <c r="X44" s="224">
        <v>0</v>
      </c>
      <c r="Y44" s="178"/>
      <c r="Z44" s="430">
        <f>+Y40+Z40</f>
        <v>0</v>
      </c>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8990776</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D50+E50-F50</f>
        <v>0</v>
      </c>
      <c r="H50" s="202"/>
      <c r="I50" s="178"/>
      <c r="J50" s="210"/>
      <c r="K50" s="210"/>
      <c r="L50" s="210"/>
      <c r="M50" s="209">
        <f>J50+K50-L50</f>
        <v>0</v>
      </c>
      <c r="N50" s="178"/>
      <c r="O50" s="178"/>
      <c r="P50" s="210">
        <f>+'[1]Vyhodnocení hospodaření PO'!D50</f>
        <v>0</v>
      </c>
      <c r="Q50" s="210">
        <f>+'[1]Vyhodnocení hospodaření PO'!E50</f>
        <v>0</v>
      </c>
      <c r="R50" s="210">
        <f>+'[1]Vyhodnocení hospodaření PO'!F50</f>
        <v>0</v>
      </c>
      <c r="S50" s="209">
        <f>P50+Q50-R50</f>
        <v>0</v>
      </c>
      <c r="T50" s="178"/>
      <c r="U50" s="178"/>
      <c r="V50" s="210"/>
      <c r="W50" s="210"/>
      <c r="X50" s="210"/>
      <c r="Y50" s="209">
        <f>V50+W50-X50</f>
        <v>0</v>
      </c>
      <c r="Z50" s="178"/>
      <c r="AA50" s="178"/>
      <c r="AB50" s="178"/>
      <c r="AC50" s="178"/>
      <c r="AD50" s="178"/>
    </row>
    <row r="51" spans="1:30" x14ac:dyDescent="0.25">
      <c r="A51" s="180"/>
      <c r="B51" s="204"/>
      <c r="C51" s="206" t="s">
        <v>15</v>
      </c>
      <c r="D51" s="210">
        <f>98.94*1000</f>
        <v>98940</v>
      </c>
      <c r="E51" s="210">
        <v>100000</v>
      </c>
      <c r="F51" s="210">
        <v>0</v>
      </c>
      <c r="G51" s="209">
        <f>D51+E51-F51</f>
        <v>198940</v>
      </c>
      <c r="H51" s="202"/>
      <c r="I51" s="178"/>
      <c r="J51" s="210">
        <v>98936.75</v>
      </c>
      <c r="K51" s="210">
        <v>100000</v>
      </c>
      <c r="L51" s="210">
        <v>0</v>
      </c>
      <c r="M51" s="209">
        <f>J51+K51-L51</f>
        <v>198936.75</v>
      </c>
      <c r="N51" s="178"/>
      <c r="O51" s="178"/>
      <c r="P51" s="210">
        <f>+'[1]Vyhodnocení hospodaření PO'!D51</f>
        <v>198936.75</v>
      </c>
      <c r="Q51" s="210">
        <f>+'[1]Vyhodnocení hospodaření PO'!E51</f>
        <v>0</v>
      </c>
      <c r="R51" s="210">
        <f>+'[1]Vyhodnocení hospodaření PO'!F51</f>
        <v>0</v>
      </c>
      <c r="S51" s="209">
        <f>P51+Q51-R51</f>
        <v>198936.75</v>
      </c>
      <c r="T51" s="178"/>
      <c r="U51" s="178"/>
      <c r="V51" s="210">
        <f>+S51</f>
        <v>198936.75</v>
      </c>
      <c r="W51" s="210">
        <v>0</v>
      </c>
      <c r="X51" s="210">
        <v>0</v>
      </c>
      <c r="Y51" s="209">
        <f>V51+W51-X51</f>
        <v>198936.75</v>
      </c>
      <c r="Z51" s="178"/>
      <c r="AA51" s="178"/>
      <c r="AB51" s="178"/>
      <c r="AC51" s="178"/>
      <c r="AD51" s="178"/>
    </row>
    <row r="52" spans="1:30" x14ac:dyDescent="0.25">
      <c r="A52" s="180"/>
      <c r="B52" s="204"/>
      <c r="C52" s="206" t="s">
        <v>14</v>
      </c>
      <c r="D52" s="210">
        <f>1349.3*1000</f>
        <v>1349300</v>
      </c>
      <c r="E52" s="210">
        <f>(15753.48+250+1308.15)*1000</f>
        <v>17311630</v>
      </c>
      <c r="F52" s="210">
        <f>12496.89*1000</f>
        <v>12496890</v>
      </c>
      <c r="G52" s="209">
        <f>D52+E52-F52</f>
        <v>6164040</v>
      </c>
      <c r="H52" s="202"/>
      <c r="I52" s="178"/>
      <c r="J52" s="210">
        <v>1349296.99</v>
      </c>
      <c r="K52" s="210">
        <v>9308226</v>
      </c>
      <c r="L52" s="210">
        <v>3166402.54</v>
      </c>
      <c r="M52" s="209">
        <f>J52+K52-L52</f>
        <v>7491120.4500000002</v>
      </c>
      <c r="N52" s="178"/>
      <c r="O52" s="178"/>
      <c r="P52" s="210">
        <f>+'[1]Vyhodnocení hospodaření PO'!D52</f>
        <v>6164029.6900000004</v>
      </c>
      <c r="Q52" s="210">
        <f>+'[1]Vyhodnocení hospodaření PO'!E52</f>
        <v>8477234.1999999993</v>
      </c>
      <c r="R52" s="210">
        <f>+'[1]Vyhodnocení hospodaření PO'!F52</f>
        <v>3407826.02</v>
      </c>
      <c r="S52" s="209">
        <f>P52+Q52-R52</f>
        <v>11233437.870000001</v>
      </c>
      <c r="T52" s="178"/>
      <c r="U52" s="178"/>
      <c r="V52" s="210">
        <v>12000000</v>
      </c>
      <c r="W52" s="210">
        <f>+AA37</f>
        <v>11730000</v>
      </c>
      <c r="X52" s="210">
        <v>12000000</v>
      </c>
      <c r="Y52" s="209">
        <f>V52+W52-X52</f>
        <v>11730000</v>
      </c>
      <c r="Z52" s="178"/>
      <c r="AA52" s="178"/>
      <c r="AB52" s="178"/>
      <c r="AC52" s="178"/>
      <c r="AD52" s="178"/>
    </row>
    <row r="53" spans="1:30" x14ac:dyDescent="0.25">
      <c r="A53" s="180"/>
      <c r="B53" s="204"/>
      <c r="C53" s="206" t="s">
        <v>13</v>
      </c>
      <c r="D53" s="210">
        <v>0</v>
      </c>
      <c r="E53" s="210">
        <v>0</v>
      </c>
      <c r="F53" s="210">
        <v>0</v>
      </c>
      <c r="G53" s="209">
        <f>D53+E53-F53</f>
        <v>0</v>
      </c>
      <c r="H53" s="202"/>
      <c r="I53" s="178"/>
      <c r="J53" s="210">
        <v>0</v>
      </c>
      <c r="K53" s="210">
        <v>0</v>
      </c>
      <c r="L53" s="210">
        <v>0</v>
      </c>
      <c r="M53" s="209">
        <f>J53+K53-L53</f>
        <v>0</v>
      </c>
      <c r="N53" s="178"/>
      <c r="O53" s="178"/>
      <c r="P53" s="210">
        <f>+'[1]Vyhodnocení hospodaření PO'!D53</f>
        <v>0</v>
      </c>
      <c r="Q53" s="210">
        <f>+'[1]Vyhodnocení hospodaření PO'!E53</f>
        <v>0</v>
      </c>
      <c r="R53" s="210">
        <f>+'[1]Vyhodnocení hospodaření PO'!F53</f>
        <v>0</v>
      </c>
      <c r="S53" s="209">
        <f>P53+Q53-R53</f>
        <v>0</v>
      </c>
      <c r="T53" s="178"/>
      <c r="U53" s="178"/>
      <c r="V53" s="210">
        <v>0</v>
      </c>
      <c r="W53" s="210">
        <v>0</v>
      </c>
      <c r="X53" s="210">
        <v>0</v>
      </c>
      <c r="Y53" s="209">
        <f>V53+W53-X53</f>
        <v>0</v>
      </c>
      <c r="Z53" s="178"/>
      <c r="AA53" s="178"/>
      <c r="AB53" s="178"/>
      <c r="AC53" s="178"/>
      <c r="AD53" s="178"/>
    </row>
    <row r="54" spans="1:30" x14ac:dyDescent="0.25">
      <c r="A54" s="180"/>
      <c r="B54" s="204"/>
      <c r="C54" s="212" t="s">
        <v>12</v>
      </c>
      <c r="D54" s="210">
        <f>144.24*1000</f>
        <v>144240</v>
      </c>
      <c r="E54" s="210">
        <f>1141.74*1000</f>
        <v>1141740</v>
      </c>
      <c r="F54" s="210">
        <f>1071.88*1000</f>
        <v>1071880</v>
      </c>
      <c r="G54" s="209">
        <f>D54+E54-F54</f>
        <v>214100</v>
      </c>
      <c r="H54" s="202"/>
      <c r="I54" s="178"/>
      <c r="J54" s="210">
        <v>144238.47</v>
      </c>
      <c r="K54" s="210">
        <v>527172.69999999995</v>
      </c>
      <c r="L54" s="210">
        <v>552565</v>
      </c>
      <c r="M54" s="209">
        <f>J54+K54-L54</f>
        <v>118846.16999999993</v>
      </c>
      <c r="N54" s="178"/>
      <c r="O54" s="178"/>
      <c r="P54" s="210">
        <f>+'[1]Vyhodnocení hospodaření PO'!D54</f>
        <v>214061.24</v>
      </c>
      <c r="Q54" s="210">
        <f>+'[1]Vyhodnocení hospodaření PO'!E54</f>
        <v>538477.88</v>
      </c>
      <c r="R54" s="210">
        <f>+'[1]Vyhodnocení hospodaření PO'!F54</f>
        <v>642290</v>
      </c>
      <c r="S54" s="209">
        <f>P54+Q54-R54</f>
        <v>110249.12</v>
      </c>
      <c r="T54" s="178"/>
      <c r="U54" s="178"/>
      <c r="V54" s="210">
        <f>+S54</f>
        <v>110249.12</v>
      </c>
      <c r="W54" s="210">
        <f>0.02*AA33</f>
        <v>1320832</v>
      </c>
      <c r="X54" s="210">
        <v>1200000</v>
      </c>
      <c r="Y54" s="209">
        <f>V54+W54-X54</f>
        <v>231081.12000000011</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188</v>
      </c>
      <c r="E57" s="205">
        <v>179</v>
      </c>
      <c r="F57" s="202"/>
      <c r="G57" s="202"/>
      <c r="H57" s="202"/>
      <c r="I57" s="201"/>
      <c r="J57" s="205">
        <v>179</v>
      </c>
      <c r="K57" s="202"/>
      <c r="L57" s="202"/>
      <c r="M57" s="202"/>
      <c r="N57" s="202"/>
      <c r="O57" s="201"/>
      <c r="P57" s="210">
        <v>177</v>
      </c>
      <c r="Q57" s="201"/>
      <c r="R57" s="201"/>
      <c r="S57" s="201"/>
      <c r="T57" s="201"/>
      <c r="U57" s="201"/>
      <c r="V57" s="205">
        <v>179</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429" t="s">
        <v>155</v>
      </c>
      <c r="C60" s="426"/>
      <c r="D60" s="426"/>
      <c r="E60" s="426"/>
      <c r="F60" s="426"/>
      <c r="G60" s="426"/>
      <c r="H60" s="426"/>
      <c r="I60" s="426"/>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427"/>
      <c r="C61" s="426"/>
      <c r="D61" s="426"/>
      <c r="E61" s="426"/>
      <c r="F61" s="426"/>
      <c r="G61" s="426"/>
      <c r="H61" s="426"/>
      <c r="I61" s="426"/>
      <c r="J61" s="428"/>
      <c r="K61" s="428"/>
      <c r="L61" s="428"/>
      <c r="M61" s="428"/>
      <c r="N61" s="428"/>
      <c r="O61" s="428"/>
      <c r="P61" s="428"/>
      <c r="Q61" s="428"/>
      <c r="R61" s="428"/>
      <c r="S61" s="428"/>
      <c r="T61" s="428"/>
      <c r="U61" s="428"/>
      <c r="V61" s="191"/>
      <c r="W61" s="191"/>
      <c r="X61" s="191"/>
      <c r="Y61" s="191"/>
      <c r="Z61" s="191"/>
      <c r="AA61" s="191"/>
      <c r="AB61" s="190"/>
      <c r="AC61" s="178"/>
      <c r="AD61" s="178"/>
    </row>
    <row r="62" spans="1:30" x14ac:dyDescent="0.25">
      <c r="A62" s="180"/>
      <c r="B62" s="427"/>
      <c r="C62" s="426"/>
      <c r="D62" s="426"/>
      <c r="E62" s="426"/>
      <c r="F62" s="426"/>
      <c r="G62" s="426"/>
      <c r="H62" s="426"/>
      <c r="I62" s="426"/>
      <c r="J62" s="425"/>
      <c r="K62" s="425"/>
      <c r="L62" s="425"/>
      <c r="M62" s="425"/>
      <c r="N62" s="425"/>
      <c r="O62" s="425"/>
      <c r="P62" s="425"/>
      <c r="Q62" s="425"/>
      <c r="R62" s="425"/>
      <c r="S62" s="425"/>
      <c r="T62" s="425"/>
      <c r="U62" s="425"/>
      <c r="V62" s="191"/>
      <c r="W62" s="191"/>
      <c r="X62" s="191"/>
      <c r="Y62" s="191"/>
      <c r="Z62" s="191"/>
      <c r="AA62" s="191"/>
      <c r="AB62" s="190"/>
      <c r="AC62" s="178"/>
      <c r="AD62" s="178"/>
    </row>
    <row r="63" spans="1:30" x14ac:dyDescent="0.25">
      <c r="A63" s="180"/>
      <c r="B63" s="427"/>
      <c r="C63" s="426"/>
      <c r="D63" s="426"/>
      <c r="E63" s="426"/>
      <c r="F63" s="426"/>
      <c r="G63" s="426"/>
      <c r="H63" s="426"/>
      <c r="I63" s="426"/>
      <c r="J63" s="425"/>
      <c r="K63" s="425"/>
      <c r="L63" s="425"/>
      <c r="M63" s="425"/>
      <c r="N63" s="425"/>
      <c r="O63" s="425"/>
      <c r="P63" s="425"/>
      <c r="Q63" s="425"/>
      <c r="R63" s="425"/>
      <c r="S63" s="425"/>
      <c r="T63" s="425"/>
      <c r="U63" s="425"/>
      <c r="V63" s="191"/>
      <c r="W63" s="191"/>
      <c r="X63" s="191"/>
      <c r="Y63" s="191"/>
      <c r="Z63" s="191"/>
      <c r="AA63" s="191"/>
      <c r="AB63" s="190"/>
      <c r="AC63" s="178"/>
      <c r="AD63" s="178"/>
    </row>
    <row r="64" spans="1:30" x14ac:dyDescent="0.25">
      <c r="A64" s="180"/>
      <c r="B64" s="427"/>
      <c r="C64" s="426"/>
      <c r="D64" s="426"/>
      <c r="E64" s="426"/>
      <c r="F64" s="426"/>
      <c r="G64" s="426"/>
      <c r="H64" s="426"/>
      <c r="I64" s="426"/>
      <c r="J64" s="425"/>
      <c r="K64" s="425"/>
      <c r="L64" s="425"/>
      <c r="M64" s="425"/>
      <c r="N64" s="425"/>
      <c r="O64" s="425"/>
      <c r="P64" s="425"/>
      <c r="Q64" s="425"/>
      <c r="R64" s="425"/>
      <c r="S64" s="425"/>
      <c r="T64" s="425"/>
      <c r="U64" s="425"/>
      <c r="V64" s="191"/>
      <c r="W64" s="191"/>
      <c r="X64" s="191"/>
      <c r="Y64" s="191"/>
      <c r="Z64" s="191"/>
      <c r="AA64" s="191"/>
      <c r="AB64" s="190"/>
      <c r="AC64" s="178"/>
      <c r="AD64" s="178"/>
    </row>
    <row r="65" spans="1:30" x14ac:dyDescent="0.25">
      <c r="A65" s="180"/>
      <c r="B65" s="193" t="s">
        <v>154</v>
      </c>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t="s">
        <v>153</v>
      </c>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t="s">
        <v>152</v>
      </c>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t="s">
        <v>151</v>
      </c>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t="s">
        <v>150</v>
      </c>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412"/>
      <c r="C71" s="411"/>
      <c r="D71" s="410"/>
      <c r="E71" s="410"/>
      <c r="F71" s="409"/>
      <c r="G71" s="409"/>
      <c r="H71" s="409"/>
      <c r="I71" s="409"/>
      <c r="J71" s="409"/>
      <c r="K71" s="409"/>
      <c r="L71" s="409"/>
      <c r="M71" s="409"/>
      <c r="N71" s="409"/>
      <c r="O71" s="409"/>
      <c r="P71" s="409"/>
      <c r="Q71" s="409"/>
      <c r="R71" s="409"/>
      <c r="S71" s="409"/>
      <c r="T71" s="409"/>
      <c r="U71" s="409"/>
      <c r="V71" s="408"/>
      <c r="W71" s="408"/>
      <c r="X71" s="408"/>
      <c r="Y71" s="408"/>
      <c r="Z71" s="408"/>
      <c r="AA71" s="408"/>
      <c r="AB71" s="407"/>
      <c r="AC71" s="178"/>
      <c r="AD71" s="178"/>
    </row>
    <row r="72" spans="1:30" x14ac:dyDescent="0.25">
      <c r="A72" s="189"/>
      <c r="B72" s="187"/>
      <c r="C72" s="188"/>
      <c r="D72" s="187"/>
      <c r="E72" s="187"/>
      <c r="F72" s="186"/>
      <c r="G72" s="186"/>
      <c r="H72" s="186"/>
      <c r="I72" s="186"/>
      <c r="J72" s="186"/>
      <c r="K72" s="186"/>
      <c r="L72" s="186"/>
      <c r="M72" s="186"/>
      <c r="N72" s="186"/>
      <c r="O72" s="186"/>
      <c r="P72" s="186"/>
      <c r="Q72" s="186"/>
      <c r="R72" s="186"/>
      <c r="S72" s="186"/>
      <c r="T72" s="186"/>
      <c r="U72" s="186"/>
      <c r="V72" s="178"/>
      <c r="W72" s="178"/>
      <c r="X72" s="178"/>
      <c r="Y72" s="178"/>
      <c r="Z72" s="178"/>
      <c r="AA72" s="178"/>
      <c r="AB72" s="178"/>
      <c r="AC72" s="178"/>
      <c r="AD72" s="178"/>
    </row>
    <row r="73" spans="1:30" x14ac:dyDescent="0.25">
      <c r="A73" s="189"/>
      <c r="B73" s="187"/>
      <c r="C73" s="188"/>
      <c r="D73" s="187"/>
      <c r="E73" s="187"/>
      <c r="F73" s="186"/>
      <c r="G73" s="186"/>
      <c r="H73" s="186"/>
      <c r="I73" s="186"/>
      <c r="J73" s="186"/>
      <c r="K73" s="186"/>
      <c r="L73" s="186"/>
      <c r="M73" s="186"/>
      <c r="N73" s="186"/>
      <c r="O73" s="186"/>
      <c r="P73" s="186"/>
      <c r="Q73" s="186"/>
      <c r="R73" s="186"/>
      <c r="S73" s="186"/>
      <c r="T73" s="186"/>
      <c r="U73" s="186"/>
      <c r="V73" s="178"/>
      <c r="W73" s="178"/>
      <c r="X73" s="178"/>
      <c r="Y73" s="178"/>
      <c r="Z73" s="178"/>
      <c r="AA73" s="178"/>
      <c r="AB73" s="178"/>
      <c r="AC73" s="178"/>
      <c r="AD73" s="178"/>
    </row>
    <row r="74" spans="1:30" x14ac:dyDescent="0.25">
      <c r="A74" s="180"/>
      <c r="B74" s="179"/>
      <c r="C74" s="179"/>
      <c r="D74" s="179"/>
      <c r="E74" s="179"/>
      <c r="F74" s="179"/>
      <c r="G74" s="179"/>
      <c r="H74" s="179"/>
      <c r="I74" s="179"/>
      <c r="J74" s="179"/>
      <c r="K74" s="179"/>
      <c r="L74" s="179"/>
      <c r="M74" s="179"/>
      <c r="N74" s="179"/>
      <c r="O74" s="179"/>
      <c r="P74" s="179"/>
      <c r="Q74" s="179"/>
      <c r="R74" s="179"/>
      <c r="S74" s="179"/>
      <c r="T74" s="179"/>
      <c r="U74" s="179"/>
      <c r="V74" s="178"/>
      <c r="W74" s="178"/>
      <c r="X74" s="178"/>
      <c r="Y74" s="178"/>
      <c r="Z74" s="178"/>
      <c r="AA74" s="178"/>
      <c r="AB74" s="178"/>
      <c r="AC74" s="178"/>
      <c r="AD74" s="178"/>
    </row>
    <row r="75" spans="1:30" x14ac:dyDescent="0.25">
      <c r="A75" s="180"/>
      <c r="B75" s="179" t="s">
        <v>5</v>
      </c>
      <c r="C75" s="185">
        <v>44501</v>
      </c>
      <c r="D75" s="179" t="s">
        <v>4</v>
      </c>
      <c r="E75" s="184" t="s">
        <v>149</v>
      </c>
      <c r="F75" s="184"/>
      <c r="G75" s="184"/>
      <c r="H75" s="179"/>
      <c r="I75" s="179" t="s">
        <v>2</v>
      </c>
      <c r="J75" s="183" t="s">
        <v>148</v>
      </c>
      <c r="K75" s="183"/>
      <c r="L75" s="183"/>
      <c r="M75" s="183"/>
      <c r="N75" s="179"/>
      <c r="O75" s="179"/>
      <c r="P75" s="179"/>
      <c r="Q75" s="179"/>
      <c r="R75" s="179"/>
      <c r="S75" s="179"/>
      <c r="T75" s="179"/>
      <c r="U75" s="179"/>
      <c r="V75" s="178"/>
      <c r="W75" s="178"/>
      <c r="X75" s="178"/>
      <c r="Y75" s="178"/>
      <c r="Z75" s="178"/>
      <c r="AA75" s="178"/>
      <c r="AB75" s="178"/>
      <c r="AC75" s="178"/>
      <c r="AD75" s="178"/>
    </row>
    <row r="76" spans="1:30" ht="7.5" customHeight="1" x14ac:dyDescent="0.25">
      <c r="A76" s="180"/>
      <c r="B76" s="179"/>
      <c r="C76" s="179"/>
      <c r="D76" s="179"/>
      <c r="E76" s="179"/>
      <c r="F76" s="179"/>
      <c r="G76" s="179"/>
      <c r="H76" s="179"/>
      <c r="I76" s="179"/>
      <c r="J76" s="179"/>
      <c r="K76" s="179"/>
      <c r="L76" s="179"/>
      <c r="M76" s="179"/>
      <c r="N76" s="179"/>
      <c r="O76" s="179"/>
      <c r="P76" s="179"/>
      <c r="Q76" s="179"/>
      <c r="R76" s="179"/>
      <c r="S76" s="179"/>
      <c r="T76" s="179"/>
      <c r="U76" s="179"/>
      <c r="V76" s="178"/>
      <c r="W76" s="178"/>
      <c r="X76" s="178"/>
      <c r="Y76" s="178"/>
      <c r="Z76" s="178"/>
      <c r="AA76" s="178"/>
      <c r="AB76" s="178"/>
      <c r="AC76" s="178"/>
      <c r="AD76" s="178"/>
    </row>
    <row r="77" spans="1:30" x14ac:dyDescent="0.25">
      <c r="A77" s="180"/>
      <c r="B77" s="179"/>
      <c r="C77" s="179"/>
      <c r="D77" s="179" t="s">
        <v>0</v>
      </c>
      <c r="E77" s="182"/>
      <c r="F77" s="182"/>
      <c r="G77" s="182"/>
      <c r="H77" s="179"/>
      <c r="I77" s="179" t="s">
        <v>0</v>
      </c>
      <c r="J77" s="181"/>
      <c r="K77" s="181"/>
      <c r="L77" s="181"/>
      <c r="M77" s="181"/>
      <c r="N77" s="179"/>
      <c r="O77" s="179"/>
      <c r="P77" s="179"/>
      <c r="Q77" s="179"/>
      <c r="R77" s="179"/>
      <c r="S77" s="179"/>
      <c r="T77" s="179"/>
      <c r="U77" s="179"/>
      <c r="V77" s="178"/>
      <c r="W77" s="178"/>
      <c r="X77" s="178"/>
      <c r="Y77" s="178"/>
      <c r="Z77" s="178"/>
      <c r="AA77" s="178"/>
      <c r="AB77" s="178"/>
      <c r="AC77" s="178"/>
      <c r="AD77" s="178"/>
    </row>
    <row r="78" spans="1:30" x14ac:dyDescent="0.25">
      <c r="A78" s="180"/>
      <c r="B78" s="179"/>
      <c r="C78" s="179"/>
      <c r="D78" s="179"/>
      <c r="E78" s="182"/>
      <c r="F78" s="182"/>
      <c r="G78" s="182"/>
      <c r="H78" s="179"/>
      <c r="I78" s="179"/>
      <c r="J78" s="181"/>
      <c r="K78" s="181"/>
      <c r="L78" s="181"/>
      <c r="M78" s="181"/>
      <c r="N78" s="179"/>
      <c r="O78" s="179"/>
      <c r="P78" s="179"/>
      <c r="Q78" s="179"/>
      <c r="R78" s="179"/>
      <c r="S78" s="179"/>
      <c r="T78" s="179"/>
      <c r="U78" s="179"/>
      <c r="V78" s="178"/>
      <c r="W78" s="178"/>
      <c r="X78" s="178"/>
      <c r="Y78" s="178"/>
      <c r="Z78" s="178"/>
      <c r="AA78" s="178"/>
      <c r="AB78" s="178"/>
      <c r="AC78" s="178"/>
      <c r="AD78" s="178"/>
    </row>
    <row r="79" spans="1:30" x14ac:dyDescent="0.25">
      <c r="A79" s="180"/>
      <c r="B79" s="179"/>
      <c r="C79" s="179"/>
      <c r="D79" s="179"/>
      <c r="E79" s="179"/>
      <c r="F79" s="179"/>
      <c r="G79" s="179"/>
      <c r="H79" s="179"/>
      <c r="I79" s="179"/>
      <c r="J79" s="179"/>
      <c r="K79" s="179"/>
      <c r="L79" s="179"/>
      <c r="M79" s="179"/>
      <c r="N79" s="179"/>
      <c r="O79" s="179"/>
      <c r="P79" s="179"/>
      <c r="Q79" s="179"/>
      <c r="R79" s="179"/>
      <c r="S79" s="179"/>
      <c r="T79" s="179"/>
      <c r="U79" s="179"/>
      <c r="V79" s="178"/>
      <c r="W79" s="178"/>
      <c r="X79" s="178"/>
      <c r="Y79" s="178"/>
      <c r="Z79" s="178"/>
      <c r="AA79" s="178"/>
      <c r="AB79" s="178"/>
      <c r="AC79" s="178"/>
      <c r="AD79" s="178"/>
    </row>
    <row r="80" spans="1:30" x14ac:dyDescent="0.25">
      <c r="A80" s="180"/>
      <c r="B80" s="179"/>
      <c r="C80" s="179"/>
      <c r="D80" s="179"/>
      <c r="E80" s="179"/>
      <c r="F80" s="179"/>
      <c r="G80" s="179"/>
      <c r="H80" s="179"/>
      <c r="I80" s="179"/>
      <c r="J80" s="179"/>
      <c r="K80" s="179"/>
      <c r="L80" s="179"/>
      <c r="M80" s="179"/>
      <c r="N80" s="179"/>
      <c r="O80" s="179"/>
      <c r="P80" s="179"/>
      <c r="Q80" s="179"/>
      <c r="R80" s="179"/>
      <c r="S80" s="179"/>
      <c r="T80" s="179"/>
      <c r="U80" s="179"/>
      <c r="V80" s="178"/>
      <c r="W80" s="178"/>
      <c r="X80" s="178"/>
      <c r="Y80" s="178"/>
      <c r="Z80" s="178"/>
      <c r="AA80" s="178"/>
      <c r="AB80" s="178"/>
      <c r="AC80" s="178"/>
      <c r="AD80" s="178"/>
    </row>
    <row r="81" spans="29:30" hidden="1" x14ac:dyDescent="0.25">
      <c r="AC81" s="175"/>
      <c r="AD81" s="175"/>
    </row>
    <row r="82" spans="29:30" x14ac:dyDescent="0.25"/>
    <row r="83" spans="29:30" x14ac:dyDescent="0.25"/>
    <row r="84" spans="29:30" x14ac:dyDescent="0.25"/>
    <row r="85" spans="29:30" x14ac:dyDescent="0.25"/>
    <row r="86" spans="29:30" x14ac:dyDescent="0.25"/>
    <row r="87" spans="29:30" x14ac:dyDescent="0.25"/>
    <row r="88" spans="29:30" x14ac:dyDescent="0.25"/>
    <row r="89" spans="29:30" x14ac:dyDescent="0.25"/>
    <row r="90" spans="29:30" x14ac:dyDescent="0.25"/>
    <row r="91" spans="29:30" x14ac:dyDescent="0.25"/>
    <row r="92" spans="29:30" x14ac:dyDescent="0.25"/>
    <row r="93" spans="29:30" x14ac:dyDescent="0.25"/>
    <row r="94" spans="29:30" x14ac:dyDescent="0.25"/>
    <row r="95" spans="29:30" x14ac:dyDescent="0.25"/>
    <row r="96" spans="29:30" x14ac:dyDescent="0.25"/>
    <row r="97" ht="15" hidden="1" customHeight="1" x14ac:dyDescent="0.25"/>
    <row r="111" ht="15" hidden="1" customHeight="1" x14ac:dyDescent="0.25"/>
    <row r="112" ht="15" hidden="1" customHeight="1" x14ac:dyDescent="0.25"/>
    <row r="113" x14ac:dyDescent="0.25"/>
    <row r="127" x14ac:dyDescent="0.25"/>
    <row r="128" x14ac:dyDescent="0.25"/>
  </sheetData>
  <mergeCells count="62">
    <mergeCell ref="J10:O10"/>
    <mergeCell ref="J11:M11"/>
    <mergeCell ref="J12:O12"/>
    <mergeCell ref="J13:L13"/>
    <mergeCell ref="M13:M14"/>
    <mergeCell ref="N13:N14"/>
    <mergeCell ref="H13:H14"/>
    <mergeCell ref="I13:I14"/>
    <mergeCell ref="D25:I25"/>
    <mergeCell ref="D26:F26"/>
    <mergeCell ref="G26:G27"/>
    <mergeCell ref="B10:B13"/>
    <mergeCell ref="P13:R13"/>
    <mergeCell ref="D59:U59"/>
    <mergeCell ref="B26:B27"/>
    <mergeCell ref="O13:O14"/>
    <mergeCell ref="J25:O25"/>
    <mergeCell ref="J26:L26"/>
    <mergeCell ref="M26:M27"/>
    <mergeCell ref="N26:N27"/>
    <mergeCell ref="O26:O27"/>
    <mergeCell ref="G13:G14"/>
    <mergeCell ref="C43:C44"/>
    <mergeCell ref="C46:C47"/>
    <mergeCell ref="C26:C27"/>
    <mergeCell ref="D12:I12"/>
    <mergeCell ref="D10:I10"/>
    <mergeCell ref="D11:G11"/>
    <mergeCell ref="C10:C13"/>
    <mergeCell ref="D13:F13"/>
    <mergeCell ref="H26:H27"/>
    <mergeCell ref="I26:I27"/>
    <mergeCell ref="S26:S27"/>
    <mergeCell ref="T26:T27"/>
    <mergeCell ref="U26:U27"/>
    <mergeCell ref="E75:G75"/>
    <mergeCell ref="J75:M75"/>
    <mergeCell ref="D4:U4"/>
    <mergeCell ref="D8:U8"/>
    <mergeCell ref="P10:U10"/>
    <mergeCell ref="P11:S11"/>
    <mergeCell ref="P12:U12"/>
    <mergeCell ref="Z26:Z27"/>
    <mergeCell ref="V10:AA10"/>
    <mergeCell ref="V25:AA25"/>
    <mergeCell ref="Y13:Y14"/>
    <mergeCell ref="Z13:Z14"/>
    <mergeCell ref="S13:S14"/>
    <mergeCell ref="T13:T14"/>
    <mergeCell ref="U13:U14"/>
    <mergeCell ref="P25:U25"/>
    <mergeCell ref="P26:R26"/>
    <mergeCell ref="B60:I64"/>
    <mergeCell ref="AB25:AB27"/>
    <mergeCell ref="V26:X26"/>
    <mergeCell ref="AA26:AA27"/>
    <mergeCell ref="AB10:AB14"/>
    <mergeCell ref="V11:Y11"/>
    <mergeCell ref="V12:AA12"/>
    <mergeCell ref="V13:X13"/>
    <mergeCell ref="AA13:AA14"/>
    <mergeCell ref="Y26:Y27"/>
  </mergeCells>
  <conditionalFormatting sqref="AB15:AB25">
    <cfRule type="cellIs" dxfId="55" priority="3" operator="equal">
      <formula>0</formula>
    </cfRule>
    <cfRule type="containsErrors" dxfId="54" priority="4">
      <formula>ISERROR(AB15)</formula>
    </cfRule>
  </conditionalFormatting>
  <conditionalFormatting sqref="AB28:AB41">
    <cfRule type="cellIs" dxfId="53" priority="1" operator="equal">
      <formula>0</formula>
    </cfRule>
    <cfRule type="containsErrors" dxfId="52" priority="2">
      <formula>ISERROR(AB28)</formula>
    </cfRule>
  </conditionalFormatting>
  <pageMargins left="0.70866141732283472" right="0.70866141732283472" top="0.78740157480314965" bottom="0.78740157480314965" header="0.31496062992125984" footer="0.31496062992125984"/>
  <pageSetup paperSize="8"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277"/>
  <sheetViews>
    <sheetView showGridLines="0" zoomScale="80" zoomScaleNormal="80" zoomScaleSheetLayoutView="80" workbookViewId="0">
      <selection activeCell="C92" sqref="C92"/>
    </sheetView>
  </sheetViews>
  <sheetFormatPr defaultColWidth="0" defaultRowHeight="15" zeroHeight="1" x14ac:dyDescent="0.25"/>
  <cols>
    <col min="1" max="1" width="4.5703125" style="176" customWidth="1"/>
    <col min="2" max="2" width="9.140625" style="176" customWidth="1"/>
    <col min="3" max="3" width="59.28515625" style="176" customWidth="1"/>
    <col min="4" max="4" width="16.5703125" style="176" customWidth="1"/>
    <col min="5" max="5" width="17.85546875" style="176" customWidth="1"/>
    <col min="6" max="6" width="16.85546875" style="176" customWidth="1"/>
    <col min="7" max="7" width="21.28515625" style="176" customWidth="1"/>
    <col min="8" max="8" width="14.140625" style="176" customWidth="1"/>
    <col min="9" max="9" width="11.28515625" style="176" customWidth="1"/>
    <col min="10" max="10" width="16.140625" style="176" customWidth="1"/>
    <col min="11" max="11" width="17.85546875" style="176" customWidth="1"/>
    <col min="12" max="12" width="13.7109375" style="176" customWidth="1"/>
    <col min="13" max="13" width="23.42578125" style="177"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31" width="0" style="175" hidden="1" customWidth="1"/>
    <col min="32"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253</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46789677</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252</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1056.4000000000001</v>
      </c>
      <c r="G15" s="366">
        <f>SUM(D15:F15)</f>
        <v>1056.4000000000001</v>
      </c>
      <c r="H15" s="352">
        <v>3.7</v>
      </c>
      <c r="I15" s="266">
        <f>G15+H15</f>
        <v>1060.1000000000001</v>
      </c>
      <c r="J15" s="369"/>
      <c r="K15" s="368"/>
      <c r="L15" s="367">
        <v>1800</v>
      </c>
      <c r="M15" s="366">
        <f>SUM(J15:L15)</f>
        <v>1800</v>
      </c>
      <c r="N15" s="352">
        <v>0</v>
      </c>
      <c r="O15" s="266">
        <f>M15+N15</f>
        <v>1800</v>
      </c>
      <c r="P15" s="369"/>
      <c r="Q15" s="368"/>
      <c r="R15" s="367">
        <v>479.5</v>
      </c>
      <c r="S15" s="366">
        <f>SUM(P15:R15)</f>
        <v>479.5</v>
      </c>
      <c r="T15" s="352">
        <v>0</v>
      </c>
      <c r="U15" s="266">
        <f>S15+T15</f>
        <v>479.5</v>
      </c>
      <c r="V15" s="369"/>
      <c r="W15" s="368"/>
      <c r="X15" s="367">
        <v>1800</v>
      </c>
      <c r="Y15" s="366">
        <f>SUM(V15:X15)</f>
        <v>1800</v>
      </c>
      <c r="Z15" s="352">
        <v>0</v>
      </c>
      <c r="AA15" s="266">
        <f>Y15+Z15</f>
        <v>1800</v>
      </c>
      <c r="AB15" s="232">
        <f>(AA15/O15)</f>
        <v>1</v>
      </c>
      <c r="AC15" s="178"/>
      <c r="AD15" s="178"/>
    </row>
    <row r="16" spans="1:30" x14ac:dyDescent="0.25">
      <c r="A16" s="180"/>
      <c r="B16" s="274" t="s">
        <v>86</v>
      </c>
      <c r="C16" s="361" t="s">
        <v>85</v>
      </c>
      <c r="D16" s="360">
        <v>6441.2</v>
      </c>
      <c r="E16" s="343"/>
      <c r="F16" s="343"/>
      <c r="G16" s="341">
        <f>SUM(D16:F16)</f>
        <v>6441.2</v>
      </c>
      <c r="H16" s="358"/>
      <c r="I16" s="266">
        <f>G16+H16</f>
        <v>6441.2</v>
      </c>
      <c r="J16" s="360">
        <v>6506</v>
      </c>
      <c r="K16" s="343"/>
      <c r="L16" s="343"/>
      <c r="M16" s="341">
        <f>SUM(J16:L16)</f>
        <v>6506</v>
      </c>
      <c r="N16" s="358"/>
      <c r="O16" s="266">
        <f>M16+N16</f>
        <v>6506</v>
      </c>
      <c r="P16" s="360">
        <v>3187.9</v>
      </c>
      <c r="Q16" s="343"/>
      <c r="R16" s="343"/>
      <c r="S16" s="341">
        <f>SUM(P16:R16)</f>
        <v>3187.9</v>
      </c>
      <c r="T16" s="358"/>
      <c r="U16" s="266">
        <f>S16+T16</f>
        <v>3187.9</v>
      </c>
      <c r="V16" s="360">
        <v>6810</v>
      </c>
      <c r="W16" s="343"/>
      <c r="X16" s="343"/>
      <c r="Y16" s="341">
        <f>SUM(V16:X16)</f>
        <v>6810</v>
      </c>
      <c r="Z16" s="358"/>
      <c r="AA16" s="266">
        <f>Y16+Z16</f>
        <v>6810</v>
      </c>
      <c r="AB16" s="232">
        <f>(AA16/O16)</f>
        <v>1.0467260989855518</v>
      </c>
      <c r="AC16" s="178"/>
      <c r="AD16" s="178"/>
    </row>
    <row r="17" spans="1:30" x14ac:dyDescent="0.25">
      <c r="A17" s="180"/>
      <c r="B17" s="274" t="s">
        <v>84</v>
      </c>
      <c r="C17" s="357" t="s">
        <v>83</v>
      </c>
      <c r="D17" s="356">
        <v>695.2</v>
      </c>
      <c r="E17" s="350"/>
      <c r="F17" s="350"/>
      <c r="G17" s="341">
        <f>SUM(D17:F17)</f>
        <v>695.2</v>
      </c>
      <c r="H17" s="355"/>
      <c r="I17" s="266">
        <f>G17+H17</f>
        <v>695.2</v>
      </c>
      <c r="J17" s="356">
        <v>893.2</v>
      </c>
      <c r="K17" s="350"/>
      <c r="L17" s="350"/>
      <c r="M17" s="341">
        <f>SUM(J17:L17)</f>
        <v>893.2</v>
      </c>
      <c r="N17" s="355"/>
      <c r="O17" s="266">
        <f>M17+N17</f>
        <v>893.2</v>
      </c>
      <c r="P17" s="356">
        <v>125.3</v>
      </c>
      <c r="Q17" s="350"/>
      <c r="R17" s="350"/>
      <c r="S17" s="341">
        <f>SUM(P17:R17)</f>
        <v>125.3</v>
      </c>
      <c r="T17" s="355"/>
      <c r="U17" s="266">
        <f>S17+T17</f>
        <v>125.3</v>
      </c>
      <c r="V17" s="356">
        <v>574.9</v>
      </c>
      <c r="W17" s="350"/>
      <c r="X17" s="350"/>
      <c r="Y17" s="341">
        <f>SUM(V17:X17)</f>
        <v>574.9</v>
      </c>
      <c r="Z17" s="355"/>
      <c r="AA17" s="266">
        <f>Y17+Z17</f>
        <v>574.9</v>
      </c>
      <c r="AB17" s="232">
        <f>(AA17/O17)</f>
        <v>0.6436408419167039</v>
      </c>
      <c r="AC17" s="178"/>
      <c r="AD17" s="178"/>
    </row>
    <row r="18" spans="1:30" x14ac:dyDescent="0.25">
      <c r="A18" s="180"/>
      <c r="B18" s="274" t="s">
        <v>82</v>
      </c>
      <c r="C18" s="354" t="s">
        <v>81</v>
      </c>
      <c r="D18" s="344"/>
      <c r="E18" s="353">
        <v>53105.4</v>
      </c>
      <c r="F18" s="350"/>
      <c r="G18" s="341">
        <f>SUM(D18:F18)</f>
        <v>53105.4</v>
      </c>
      <c r="H18" s="352"/>
      <c r="I18" s="266">
        <f>G18+H18</f>
        <v>53105.4</v>
      </c>
      <c r="J18" s="344"/>
      <c r="K18" s="353">
        <v>57891.8</v>
      </c>
      <c r="L18" s="350"/>
      <c r="M18" s="341">
        <f>SUM(J18:L18)</f>
        <v>57891.8</v>
      </c>
      <c r="N18" s="352"/>
      <c r="O18" s="266">
        <f>M18+N18</f>
        <v>57891.8</v>
      </c>
      <c r="P18" s="344"/>
      <c r="Q18" s="353">
        <v>26232.2</v>
      </c>
      <c r="R18" s="350"/>
      <c r="S18" s="341">
        <f>SUM(P18:R18)</f>
        <v>26232.2</v>
      </c>
      <c r="T18" s="352"/>
      <c r="U18" s="266">
        <f>S18+T18</f>
        <v>26232.2</v>
      </c>
      <c r="V18" s="344"/>
      <c r="W18" s="353">
        <v>57657.7</v>
      </c>
      <c r="X18" s="350"/>
      <c r="Y18" s="341">
        <f>SUM(V18:X18)</f>
        <v>57657.7</v>
      </c>
      <c r="Z18" s="352"/>
      <c r="AA18" s="266">
        <f>Y18+Z18</f>
        <v>57657.7</v>
      </c>
      <c r="AB18" s="232">
        <f>(AA18/O18)</f>
        <v>0.99595624941701577</v>
      </c>
      <c r="AC18" s="178"/>
      <c r="AD18" s="178"/>
    </row>
    <row r="19" spans="1:30" x14ac:dyDescent="0.25">
      <c r="A19" s="180"/>
      <c r="B19" s="274" t="s">
        <v>80</v>
      </c>
      <c r="C19" s="280" t="s">
        <v>79</v>
      </c>
      <c r="D19" s="351"/>
      <c r="E19" s="350"/>
      <c r="F19" s="347">
        <v>394</v>
      </c>
      <c r="G19" s="341">
        <f>SUM(D19:F19)</f>
        <v>394</v>
      </c>
      <c r="H19" s="345"/>
      <c r="I19" s="266">
        <f>G19+H19</f>
        <v>394</v>
      </c>
      <c r="J19" s="351"/>
      <c r="K19" s="350"/>
      <c r="L19" s="347">
        <v>895.5</v>
      </c>
      <c r="M19" s="341">
        <f>SUM(J19:L19)</f>
        <v>895.5</v>
      </c>
      <c r="N19" s="345"/>
      <c r="O19" s="266">
        <f>M19+N19</f>
        <v>895.5</v>
      </c>
      <c r="P19" s="351"/>
      <c r="Q19" s="350"/>
      <c r="R19" s="347">
        <v>447.8</v>
      </c>
      <c r="S19" s="341">
        <f>SUM(P19:R19)</f>
        <v>447.8</v>
      </c>
      <c r="T19" s="345"/>
      <c r="U19" s="266">
        <f>S19+T19</f>
        <v>447.8</v>
      </c>
      <c r="V19" s="351"/>
      <c r="W19" s="350"/>
      <c r="X19" s="347">
        <v>895.5</v>
      </c>
      <c r="Y19" s="341">
        <f>SUM(V19:X19)</f>
        <v>895.5</v>
      </c>
      <c r="Z19" s="345"/>
      <c r="AA19" s="266">
        <f>Y19+Z19</f>
        <v>895.5</v>
      </c>
      <c r="AB19" s="232">
        <f>(AA19/O19)</f>
        <v>1</v>
      </c>
      <c r="AC19" s="178"/>
      <c r="AD19" s="178"/>
    </row>
    <row r="20" spans="1:30" x14ac:dyDescent="0.25">
      <c r="A20" s="180"/>
      <c r="B20" s="274" t="s">
        <v>78</v>
      </c>
      <c r="C20" s="346" t="s">
        <v>77</v>
      </c>
      <c r="D20" s="344"/>
      <c r="E20" s="343"/>
      <c r="F20" s="342">
        <v>89.1</v>
      </c>
      <c r="G20" s="341">
        <f>SUM(D20:F20)</f>
        <v>89.1</v>
      </c>
      <c r="H20" s="345"/>
      <c r="I20" s="266">
        <f>G20+H20</f>
        <v>89.1</v>
      </c>
      <c r="J20" s="344"/>
      <c r="K20" s="343"/>
      <c r="L20" s="342"/>
      <c r="M20" s="341">
        <f>SUM(J20:L20)</f>
        <v>0</v>
      </c>
      <c r="N20" s="345"/>
      <c r="O20" s="266">
        <f>M20+N20</f>
        <v>0</v>
      </c>
      <c r="P20" s="344"/>
      <c r="Q20" s="343"/>
      <c r="R20" s="342">
        <v>80</v>
      </c>
      <c r="S20" s="341">
        <f>SUM(P20:R20)</f>
        <v>80</v>
      </c>
      <c r="T20" s="345"/>
      <c r="U20" s="266">
        <f>S20+T20</f>
        <v>80</v>
      </c>
      <c r="V20" s="344"/>
      <c r="W20" s="343"/>
      <c r="X20" s="342">
        <v>80</v>
      </c>
      <c r="Y20" s="341">
        <f>SUM(V20:X20)</f>
        <v>80</v>
      </c>
      <c r="Z20" s="345"/>
      <c r="AA20" s="266">
        <f>Y20+Z20</f>
        <v>80</v>
      </c>
      <c r="AB20" s="232" t="e">
        <f>(AA20/O20)</f>
        <v>#DIV/0!</v>
      </c>
      <c r="AC20" s="178"/>
      <c r="AD20" s="178"/>
    </row>
    <row r="21" spans="1:30" x14ac:dyDescent="0.25">
      <c r="A21" s="180"/>
      <c r="B21" s="274" t="s">
        <v>76</v>
      </c>
      <c r="C21" s="273" t="s">
        <v>75</v>
      </c>
      <c r="D21" s="344"/>
      <c r="E21" s="343"/>
      <c r="F21" s="342">
        <v>65.8</v>
      </c>
      <c r="G21" s="341">
        <f>SUM(D21:F21)</f>
        <v>65.8</v>
      </c>
      <c r="H21" s="336">
        <v>102.1</v>
      </c>
      <c r="I21" s="266">
        <f>G21+H21</f>
        <v>167.89999999999998</v>
      </c>
      <c r="J21" s="344"/>
      <c r="K21" s="343"/>
      <c r="L21" s="342">
        <v>70</v>
      </c>
      <c r="M21" s="341">
        <f>SUM(J21:L21)</f>
        <v>70</v>
      </c>
      <c r="N21" s="336">
        <v>123</v>
      </c>
      <c r="O21" s="266">
        <f>M21+N21</f>
        <v>193</v>
      </c>
      <c r="P21" s="344"/>
      <c r="Q21" s="343"/>
      <c r="R21" s="342">
        <v>410.7</v>
      </c>
      <c r="S21" s="341">
        <f>SUM(P21:R21)</f>
        <v>410.7</v>
      </c>
      <c r="T21" s="336">
        <v>33.1</v>
      </c>
      <c r="U21" s="266">
        <f>S21+T21</f>
        <v>443.8</v>
      </c>
      <c r="V21" s="344"/>
      <c r="W21" s="343"/>
      <c r="X21" s="342">
        <v>35</v>
      </c>
      <c r="Y21" s="341">
        <f>SUM(V21:X21)</f>
        <v>35</v>
      </c>
      <c r="Z21" s="336">
        <v>120</v>
      </c>
      <c r="AA21" s="266">
        <f>Y21+Z21</f>
        <v>155</v>
      </c>
      <c r="AB21" s="232">
        <f>(AA21/O21)</f>
        <v>0.80310880829015541</v>
      </c>
      <c r="AC21" s="178"/>
      <c r="AD21" s="178"/>
    </row>
    <row r="22" spans="1:30" x14ac:dyDescent="0.25">
      <c r="A22" s="180"/>
      <c r="B22" s="274" t="s">
        <v>74</v>
      </c>
      <c r="C22" s="273" t="s">
        <v>73</v>
      </c>
      <c r="D22" s="344"/>
      <c r="E22" s="343"/>
      <c r="F22" s="342"/>
      <c r="G22" s="341">
        <f>SUM(D22:F22)</f>
        <v>0</v>
      </c>
      <c r="H22" s="336">
        <v>102.1</v>
      </c>
      <c r="I22" s="266">
        <f>G22+H22</f>
        <v>102.1</v>
      </c>
      <c r="J22" s="344"/>
      <c r="K22" s="343"/>
      <c r="L22" s="342"/>
      <c r="M22" s="341">
        <f>SUM(J22:L22)</f>
        <v>0</v>
      </c>
      <c r="N22" s="336">
        <v>123</v>
      </c>
      <c r="O22" s="266">
        <f>M22+N22</f>
        <v>123</v>
      </c>
      <c r="P22" s="344"/>
      <c r="Q22" s="343"/>
      <c r="R22" s="342"/>
      <c r="S22" s="341">
        <f>SUM(P22:R22)</f>
        <v>0</v>
      </c>
      <c r="T22" s="336">
        <v>33.1</v>
      </c>
      <c r="U22" s="266">
        <f>S22+T22</f>
        <v>33.1</v>
      </c>
      <c r="V22" s="344"/>
      <c r="W22" s="343"/>
      <c r="X22" s="342"/>
      <c r="Y22" s="341">
        <f>SUM(V22:X22)</f>
        <v>0</v>
      </c>
      <c r="Z22" s="336">
        <v>120</v>
      </c>
      <c r="AA22" s="266">
        <f>Y22+Z22</f>
        <v>120</v>
      </c>
      <c r="AB22" s="232">
        <f>(AA22/O22)</f>
        <v>0.97560975609756095</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7136.4</v>
      </c>
      <c r="E24" s="322">
        <f>SUM(E15:E21)</f>
        <v>53105.4</v>
      </c>
      <c r="F24" s="322">
        <f>SUM(F15:F21)</f>
        <v>1605.3</v>
      </c>
      <c r="G24" s="321">
        <f>SUM(D24:F24)</f>
        <v>61847.100000000006</v>
      </c>
      <c r="H24" s="320">
        <f>SUM(H15:H21)</f>
        <v>105.8</v>
      </c>
      <c r="I24" s="320">
        <f>SUM(I15:I21)</f>
        <v>61952.9</v>
      </c>
      <c r="J24" s="323">
        <f>SUM(J15:J21)</f>
        <v>7399.2</v>
      </c>
      <c r="K24" s="322">
        <f>SUM(K15:K21)</f>
        <v>57891.8</v>
      </c>
      <c r="L24" s="322">
        <f>SUM(L15:L21)</f>
        <v>2765.5</v>
      </c>
      <c r="M24" s="321">
        <f>SUM(J24:L24)</f>
        <v>68056.5</v>
      </c>
      <c r="N24" s="320">
        <f>SUM(N15:N21)</f>
        <v>123</v>
      </c>
      <c r="O24" s="320">
        <f>SUM(O15:O21)</f>
        <v>68179.5</v>
      </c>
      <c r="P24" s="323">
        <f>SUM(P15:P21)</f>
        <v>3313.2000000000003</v>
      </c>
      <c r="Q24" s="322">
        <f>SUM(Q15:Q21)</f>
        <v>26232.2</v>
      </c>
      <c r="R24" s="322">
        <f>SUM(R15:R21)</f>
        <v>1418</v>
      </c>
      <c r="S24" s="321">
        <f>SUM(P24:R24)</f>
        <v>30963.4</v>
      </c>
      <c r="T24" s="320">
        <f>SUM(T15:T21)</f>
        <v>33.1</v>
      </c>
      <c r="U24" s="320">
        <f>SUM(U15:U21)</f>
        <v>30996.5</v>
      </c>
      <c r="V24" s="323">
        <f>SUM(V15:V21)</f>
        <v>7384.9</v>
      </c>
      <c r="W24" s="322">
        <f>SUM(W15:W21)</f>
        <v>57657.7</v>
      </c>
      <c r="X24" s="322">
        <f>SUM(X15:X21)</f>
        <v>2810.5</v>
      </c>
      <c r="Y24" s="321">
        <f>SUM(V24:X24)</f>
        <v>67853.100000000006</v>
      </c>
      <c r="Z24" s="320">
        <f>SUM(Z15:Z21)</f>
        <v>120</v>
      </c>
      <c r="AA24" s="320">
        <f>SUM(AA15:AA21)</f>
        <v>67973.099999999991</v>
      </c>
      <c r="AB24" s="319">
        <f>(AA24/O24)</f>
        <v>0.99697269707170033</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973.7</v>
      </c>
      <c r="E28" s="287"/>
      <c r="F28" s="287"/>
      <c r="G28" s="286">
        <f>SUM(D28:F28)</f>
        <v>973.7</v>
      </c>
      <c r="H28" s="286"/>
      <c r="I28" s="285">
        <f>G28+H28</f>
        <v>973.7</v>
      </c>
      <c r="J28" s="288">
        <v>520</v>
      </c>
      <c r="K28" s="287"/>
      <c r="L28" s="287"/>
      <c r="M28" s="286">
        <f>SUM(J28:L28)</f>
        <v>520</v>
      </c>
      <c r="N28" s="286"/>
      <c r="O28" s="285">
        <f>M28+N28</f>
        <v>520</v>
      </c>
      <c r="P28" s="288">
        <v>329.4</v>
      </c>
      <c r="Q28" s="287"/>
      <c r="R28" s="287"/>
      <c r="S28" s="286">
        <f>SUM(P28:R28)</f>
        <v>329.4</v>
      </c>
      <c r="T28" s="286"/>
      <c r="U28" s="285">
        <f>S28+T28</f>
        <v>329.4</v>
      </c>
      <c r="V28" s="288">
        <v>900</v>
      </c>
      <c r="W28" s="287"/>
      <c r="X28" s="287"/>
      <c r="Y28" s="286">
        <f>SUM(V28:X28)</f>
        <v>900</v>
      </c>
      <c r="Z28" s="286"/>
      <c r="AA28" s="285">
        <f>Y28+Z28</f>
        <v>900</v>
      </c>
      <c r="AB28" s="232">
        <f>(AA28/O28)</f>
        <v>1.7307692307692308</v>
      </c>
      <c r="AC28" s="178"/>
      <c r="AD28" s="178"/>
    </row>
    <row r="29" spans="1:30" x14ac:dyDescent="0.25">
      <c r="A29" s="180"/>
      <c r="B29" s="274" t="s">
        <v>56</v>
      </c>
      <c r="C29" s="284" t="s">
        <v>55</v>
      </c>
      <c r="D29" s="282">
        <v>654</v>
      </c>
      <c r="E29" s="282">
        <v>309.10000000000002</v>
      </c>
      <c r="F29" s="282">
        <v>989.7</v>
      </c>
      <c r="G29" s="263">
        <f>SUM(D29:F29)</f>
        <v>1952.8000000000002</v>
      </c>
      <c r="H29" s="281"/>
      <c r="I29" s="266">
        <f>G29+H29</f>
        <v>1952.8000000000002</v>
      </c>
      <c r="J29" s="283">
        <v>1012.7</v>
      </c>
      <c r="K29" s="282">
        <v>350</v>
      </c>
      <c r="L29" s="282">
        <v>1750</v>
      </c>
      <c r="M29" s="263">
        <f>SUM(J29:L29)</f>
        <v>3112.7</v>
      </c>
      <c r="N29" s="281">
        <v>45</v>
      </c>
      <c r="O29" s="266">
        <f>M29+N29</f>
        <v>3157.7</v>
      </c>
      <c r="P29" s="283">
        <v>324.7</v>
      </c>
      <c r="Q29" s="282">
        <v>61.7</v>
      </c>
      <c r="R29" s="282">
        <v>697.4</v>
      </c>
      <c r="S29" s="263">
        <f>SUM(P29:R29)</f>
        <v>1083.8</v>
      </c>
      <c r="T29" s="281"/>
      <c r="U29" s="266">
        <f>S29+T29</f>
        <v>1083.8</v>
      </c>
      <c r="V29" s="283">
        <v>713</v>
      </c>
      <c r="W29" s="282">
        <v>350</v>
      </c>
      <c r="X29" s="282">
        <v>1750</v>
      </c>
      <c r="Y29" s="263">
        <f>SUM(V29:X29)</f>
        <v>2813</v>
      </c>
      <c r="Z29" s="281">
        <v>48</v>
      </c>
      <c r="AA29" s="266">
        <f>Y29+Z29</f>
        <v>2861</v>
      </c>
      <c r="AB29" s="232">
        <f>(AA29/O29)</f>
        <v>0.90603920575102137</v>
      </c>
      <c r="AC29" s="178"/>
      <c r="AD29" s="178"/>
    </row>
    <row r="30" spans="1:30" x14ac:dyDescent="0.25">
      <c r="A30" s="180"/>
      <c r="B30" s="274" t="s">
        <v>54</v>
      </c>
      <c r="C30" s="273" t="s">
        <v>53</v>
      </c>
      <c r="D30" s="267">
        <v>2009</v>
      </c>
      <c r="E30" s="267"/>
      <c r="F30" s="267"/>
      <c r="G30" s="263">
        <f>SUM(D30:F30)</f>
        <v>2009</v>
      </c>
      <c r="H30" s="263">
        <v>3.7</v>
      </c>
      <c r="I30" s="266">
        <f>G30+H30</f>
        <v>2012.7</v>
      </c>
      <c r="J30" s="268">
        <v>2350</v>
      </c>
      <c r="K30" s="267"/>
      <c r="L30" s="267"/>
      <c r="M30" s="263">
        <f>SUM(J30:L30)</f>
        <v>2350</v>
      </c>
      <c r="N30" s="263">
        <v>30</v>
      </c>
      <c r="O30" s="266">
        <f>M30+N30</f>
        <v>2380</v>
      </c>
      <c r="P30" s="268">
        <v>1285.8</v>
      </c>
      <c r="Q30" s="267"/>
      <c r="R30" s="267"/>
      <c r="S30" s="263">
        <f>SUM(P30:R30)</f>
        <v>1285.8</v>
      </c>
      <c r="T30" s="263"/>
      <c r="U30" s="266">
        <f>S30+T30</f>
        <v>1285.8</v>
      </c>
      <c r="V30" s="268">
        <v>2615</v>
      </c>
      <c r="W30" s="267"/>
      <c r="X30" s="267"/>
      <c r="Y30" s="263">
        <f>SUM(V30:X30)</f>
        <v>2615</v>
      </c>
      <c r="Z30" s="263">
        <v>72</v>
      </c>
      <c r="AA30" s="266">
        <f>Y30+Z30</f>
        <v>2687</v>
      </c>
      <c r="AB30" s="232">
        <f>(AA30/O30)</f>
        <v>1.1289915966386554</v>
      </c>
      <c r="AC30" s="178"/>
      <c r="AD30" s="178"/>
    </row>
    <row r="31" spans="1:30" x14ac:dyDescent="0.25">
      <c r="A31" s="180"/>
      <c r="B31" s="274" t="s">
        <v>51</v>
      </c>
      <c r="C31" s="273" t="s">
        <v>50</v>
      </c>
      <c r="D31" s="267">
        <v>815.8</v>
      </c>
      <c r="E31" s="267">
        <v>66.900000000000006</v>
      </c>
      <c r="F31" s="267"/>
      <c r="G31" s="263">
        <f>SUM(D31:F31)</f>
        <v>882.69999999999993</v>
      </c>
      <c r="H31" s="263"/>
      <c r="I31" s="266">
        <f>G31+H31</f>
        <v>882.69999999999993</v>
      </c>
      <c r="J31" s="268">
        <v>880</v>
      </c>
      <c r="K31" s="267">
        <v>35</v>
      </c>
      <c r="L31" s="267"/>
      <c r="M31" s="263">
        <f>SUM(J31:L31)</f>
        <v>915</v>
      </c>
      <c r="N31" s="263"/>
      <c r="O31" s="266">
        <f>M31+N31</f>
        <v>915</v>
      </c>
      <c r="P31" s="268">
        <v>460.6</v>
      </c>
      <c r="Q31" s="267"/>
      <c r="R31" s="267"/>
      <c r="S31" s="263">
        <f>SUM(P31:R31)</f>
        <v>460.6</v>
      </c>
      <c r="T31" s="263"/>
      <c r="U31" s="266">
        <f>S31+T31</f>
        <v>460.6</v>
      </c>
      <c r="V31" s="268">
        <v>890</v>
      </c>
      <c r="W31" s="267"/>
      <c r="X31" s="267">
        <v>80</v>
      </c>
      <c r="Y31" s="263">
        <f>SUM(V31:X31)</f>
        <v>970</v>
      </c>
      <c r="Z31" s="263"/>
      <c r="AA31" s="266">
        <f>Y31+Z31</f>
        <v>970</v>
      </c>
      <c r="AB31" s="232">
        <f>(AA31/O31)</f>
        <v>1.0601092896174864</v>
      </c>
      <c r="AC31" s="178"/>
      <c r="AD31" s="178"/>
    </row>
    <row r="32" spans="1:30" x14ac:dyDescent="0.25">
      <c r="A32" s="180"/>
      <c r="B32" s="274" t="s">
        <v>49</v>
      </c>
      <c r="C32" s="273" t="s">
        <v>48</v>
      </c>
      <c r="D32" s="277">
        <f>D33+D34</f>
        <v>516.9</v>
      </c>
      <c r="E32" s="267">
        <f>E33+E34</f>
        <v>37793.300000000003</v>
      </c>
      <c r="F32" s="267"/>
      <c r="G32" s="263">
        <f>SUM(D32:F32)</f>
        <v>38310.200000000004</v>
      </c>
      <c r="H32" s="263"/>
      <c r="I32" s="266">
        <f>G32+H32</f>
        <v>38310.200000000004</v>
      </c>
      <c r="J32" s="275">
        <v>571.1</v>
      </c>
      <c r="K32" s="267">
        <v>42153.5</v>
      </c>
      <c r="L32" s="267"/>
      <c r="M32" s="263">
        <f>SUM(J32:L32)</f>
        <v>42724.6</v>
      </c>
      <c r="N32" s="263"/>
      <c r="O32" s="266">
        <f>M32+N32</f>
        <v>42724.6</v>
      </c>
      <c r="P32" s="275">
        <v>104.9</v>
      </c>
      <c r="Q32" s="267">
        <v>19078.3</v>
      </c>
      <c r="R32" s="267">
        <v>80</v>
      </c>
      <c r="S32" s="263">
        <f>SUM(P32:R32)</f>
        <v>19263.2</v>
      </c>
      <c r="T32" s="263"/>
      <c r="U32" s="266">
        <f>S32+T32</f>
        <v>19263.2</v>
      </c>
      <c r="V32" s="275">
        <f>V33+V34</f>
        <v>397.6</v>
      </c>
      <c r="W32" s="267">
        <f>W33+W34</f>
        <v>41880.5</v>
      </c>
      <c r="X32" s="267"/>
      <c r="Y32" s="263">
        <f>SUM(V32:X32)</f>
        <v>42278.1</v>
      </c>
      <c r="Z32" s="263"/>
      <c r="AA32" s="266">
        <f>Y32+Z32</f>
        <v>42278.1</v>
      </c>
      <c r="AB32" s="232">
        <f>(AA32/O32)</f>
        <v>0.98954934627825653</v>
      </c>
      <c r="AC32" s="178"/>
      <c r="AD32" s="178"/>
    </row>
    <row r="33" spans="1:30" x14ac:dyDescent="0.25">
      <c r="A33" s="180"/>
      <c r="B33" s="274" t="s">
        <v>47</v>
      </c>
      <c r="C33" s="280" t="s">
        <v>46</v>
      </c>
      <c r="D33" s="277">
        <v>491.7</v>
      </c>
      <c r="E33" s="267">
        <v>37416.5</v>
      </c>
      <c r="F33" s="267"/>
      <c r="G33" s="263">
        <f>SUM(D33:F33)</f>
        <v>37908.199999999997</v>
      </c>
      <c r="H33" s="263"/>
      <c r="I33" s="266">
        <f>G33+H33</f>
        <v>37908.199999999997</v>
      </c>
      <c r="J33" s="275">
        <v>545.9</v>
      </c>
      <c r="K33" s="267">
        <v>41843.5</v>
      </c>
      <c r="L33" s="267"/>
      <c r="M33" s="263">
        <f>SUM(J33:L33)</f>
        <v>42389.4</v>
      </c>
      <c r="N33" s="263"/>
      <c r="O33" s="266">
        <f>M33+N33</f>
        <v>42389.4</v>
      </c>
      <c r="P33" s="275">
        <v>92.3</v>
      </c>
      <c r="Q33" s="267">
        <v>18911</v>
      </c>
      <c r="R33" s="267"/>
      <c r="S33" s="263">
        <f>SUM(P33:R33)</f>
        <v>19003.3</v>
      </c>
      <c r="T33" s="263"/>
      <c r="U33" s="266">
        <f>S33+T33</f>
        <v>19003.3</v>
      </c>
      <c r="V33" s="275">
        <v>305.7</v>
      </c>
      <c r="W33" s="267">
        <v>41277.199999999997</v>
      </c>
      <c r="X33" s="267"/>
      <c r="Y33" s="263">
        <f>SUM(V33:X33)</f>
        <v>41582.899999999994</v>
      </c>
      <c r="Z33" s="263"/>
      <c r="AA33" s="266">
        <f>Y33+Z33</f>
        <v>41582.899999999994</v>
      </c>
      <c r="AB33" s="232">
        <f>(AA33/O33)</f>
        <v>0.98097401708917775</v>
      </c>
      <c r="AC33" s="178"/>
      <c r="AD33" s="178"/>
    </row>
    <row r="34" spans="1:30" x14ac:dyDescent="0.25">
      <c r="A34" s="180"/>
      <c r="B34" s="274" t="s">
        <v>45</v>
      </c>
      <c r="C34" s="278" t="s">
        <v>44</v>
      </c>
      <c r="D34" s="277">
        <v>25.2</v>
      </c>
      <c r="E34" s="267">
        <v>376.8</v>
      </c>
      <c r="F34" s="267"/>
      <c r="G34" s="263">
        <f>SUM(D34:F34)</f>
        <v>402</v>
      </c>
      <c r="H34" s="263"/>
      <c r="I34" s="266">
        <f>G34+H34</f>
        <v>402</v>
      </c>
      <c r="J34" s="275">
        <v>25.2</v>
      </c>
      <c r="K34" s="267">
        <v>310</v>
      </c>
      <c r="L34" s="267"/>
      <c r="M34" s="263">
        <f>SUM(J34:L34)</f>
        <v>335.2</v>
      </c>
      <c r="N34" s="263"/>
      <c r="O34" s="266">
        <f>M34+N34</f>
        <v>335.2</v>
      </c>
      <c r="P34" s="275">
        <v>12.6</v>
      </c>
      <c r="Q34" s="267">
        <v>167.3</v>
      </c>
      <c r="R34" s="267">
        <v>80</v>
      </c>
      <c r="S34" s="263">
        <f>SUM(P34:R34)</f>
        <v>259.89999999999998</v>
      </c>
      <c r="T34" s="263"/>
      <c r="U34" s="266">
        <f>S34+T34</f>
        <v>259.89999999999998</v>
      </c>
      <c r="V34" s="275">
        <v>91.9</v>
      </c>
      <c r="W34" s="267">
        <v>603.29999999999995</v>
      </c>
      <c r="X34" s="267"/>
      <c r="Y34" s="263">
        <f>SUM(V34:X34)</f>
        <v>695.19999999999993</v>
      </c>
      <c r="Z34" s="263"/>
      <c r="AA34" s="266">
        <f>Y34+Z34</f>
        <v>695.19999999999993</v>
      </c>
      <c r="AB34" s="232">
        <f>(AA34/O34)</f>
        <v>2.0739856801909307</v>
      </c>
      <c r="AC34" s="178"/>
      <c r="AD34" s="178"/>
    </row>
    <row r="35" spans="1:30" x14ac:dyDescent="0.25">
      <c r="A35" s="180"/>
      <c r="B35" s="274" t="s">
        <v>43</v>
      </c>
      <c r="C35" s="273" t="s">
        <v>42</v>
      </c>
      <c r="D35" s="277">
        <v>166.2</v>
      </c>
      <c r="E35" s="267">
        <v>12645.8</v>
      </c>
      <c r="F35" s="267"/>
      <c r="G35" s="263">
        <f>SUM(D35:F35)</f>
        <v>12812</v>
      </c>
      <c r="H35" s="263"/>
      <c r="I35" s="266">
        <f>G35+H35</f>
        <v>12812</v>
      </c>
      <c r="J35" s="275">
        <v>184.6</v>
      </c>
      <c r="K35" s="267">
        <v>14143.1</v>
      </c>
      <c r="L35" s="267"/>
      <c r="M35" s="263">
        <f>SUM(J35:L35)</f>
        <v>14327.7</v>
      </c>
      <c r="N35" s="263"/>
      <c r="O35" s="266">
        <f>M35+N35</f>
        <v>14327.7</v>
      </c>
      <c r="P35" s="275">
        <v>31.2</v>
      </c>
      <c r="Q35" s="267">
        <v>6344.7</v>
      </c>
      <c r="R35" s="267"/>
      <c r="S35" s="263">
        <f>SUM(P35:R35)</f>
        <v>6375.9</v>
      </c>
      <c r="T35" s="263"/>
      <c r="U35" s="266">
        <f>S35+T35</f>
        <v>6375.9</v>
      </c>
      <c r="V35" s="275">
        <v>103.3</v>
      </c>
      <c r="W35" s="267">
        <v>13951.7</v>
      </c>
      <c r="X35" s="267"/>
      <c r="Y35" s="263">
        <f>SUM(V35:X35)</f>
        <v>14055</v>
      </c>
      <c r="Z35" s="263"/>
      <c r="AA35" s="266">
        <f>Y35+Z35</f>
        <v>14055</v>
      </c>
      <c r="AB35" s="232">
        <f>(AA35/O35)</f>
        <v>0.98096693816872205</v>
      </c>
      <c r="AC35" s="178"/>
      <c r="AD35" s="178"/>
    </row>
    <row r="36" spans="1:30" x14ac:dyDescent="0.25">
      <c r="A36" s="180"/>
      <c r="B36" s="274" t="s">
        <v>41</v>
      </c>
      <c r="C36" s="273" t="s">
        <v>40</v>
      </c>
      <c r="D36" s="267" t="s">
        <v>52</v>
      </c>
      <c r="E36" s="267"/>
      <c r="F36" s="267"/>
      <c r="G36" s="263">
        <f>SUM(D36:F36)</f>
        <v>0</v>
      </c>
      <c r="H36" s="263"/>
      <c r="I36" s="266">
        <f>G36+H36</f>
        <v>0</v>
      </c>
      <c r="J36" s="268"/>
      <c r="K36" s="267"/>
      <c r="L36" s="267"/>
      <c r="M36" s="263">
        <f>SUM(J36:L36)</f>
        <v>0</v>
      </c>
      <c r="N36" s="263"/>
      <c r="O36" s="266">
        <f>M36+N36</f>
        <v>0</v>
      </c>
      <c r="P36" s="268"/>
      <c r="Q36" s="267"/>
      <c r="R36" s="267"/>
      <c r="S36" s="263">
        <f>SUM(P36:R36)</f>
        <v>0</v>
      </c>
      <c r="T36" s="263"/>
      <c r="U36" s="266">
        <f>S36+T36</f>
        <v>0</v>
      </c>
      <c r="V36" s="268"/>
      <c r="W36" s="267"/>
      <c r="X36" s="267"/>
      <c r="Y36" s="263">
        <f>SUM(V36:X36)</f>
        <v>0</v>
      </c>
      <c r="Z36" s="263"/>
      <c r="AA36" s="266">
        <f>Y36+Z36</f>
        <v>0</v>
      </c>
      <c r="AB36" s="232" t="e">
        <f>(AA36/O36)</f>
        <v>#DIV/0!</v>
      </c>
      <c r="AC36" s="178"/>
      <c r="AD36" s="178"/>
    </row>
    <row r="37" spans="1:30" x14ac:dyDescent="0.25">
      <c r="A37" s="180"/>
      <c r="B37" s="274" t="s">
        <v>39</v>
      </c>
      <c r="C37" s="273" t="s">
        <v>38</v>
      </c>
      <c r="D37" s="267">
        <v>1628.6</v>
      </c>
      <c r="E37" s="267"/>
      <c r="F37" s="267"/>
      <c r="G37" s="263">
        <f>SUM(D37:F37)</f>
        <v>1628.6</v>
      </c>
      <c r="H37" s="263"/>
      <c r="I37" s="266">
        <f>G37+H37</f>
        <v>1628.6</v>
      </c>
      <c r="J37" s="268">
        <v>1130.8</v>
      </c>
      <c r="K37" s="267"/>
      <c r="L37" s="267">
        <v>895.5</v>
      </c>
      <c r="M37" s="263">
        <f>SUM(J37:L37)</f>
        <v>2026.3</v>
      </c>
      <c r="N37" s="263"/>
      <c r="O37" s="266">
        <f>M37+N37</f>
        <v>2026.3</v>
      </c>
      <c r="P37" s="268">
        <v>559.29999999999995</v>
      </c>
      <c r="Q37" s="267"/>
      <c r="R37" s="267">
        <v>447.8</v>
      </c>
      <c r="S37" s="263">
        <f>SUM(P37:R37)</f>
        <v>1007.0999999999999</v>
      </c>
      <c r="T37" s="263"/>
      <c r="U37" s="266">
        <f>S37+T37</f>
        <v>1007.0999999999999</v>
      </c>
      <c r="V37" s="268">
        <v>1096.3</v>
      </c>
      <c r="W37" s="267"/>
      <c r="X37" s="267">
        <v>895.5</v>
      </c>
      <c r="Y37" s="263">
        <f>SUM(V37:X37)</f>
        <v>1991.8</v>
      </c>
      <c r="Z37" s="263"/>
      <c r="AA37" s="266">
        <f>Y37+Z37</f>
        <v>1991.8</v>
      </c>
      <c r="AB37" s="232">
        <f>(AA37/O37)</f>
        <v>0.98297389330306473</v>
      </c>
      <c r="AC37" s="178"/>
      <c r="AD37" s="178"/>
    </row>
    <row r="38" spans="1:30" ht="15.75" thickBot="1" x14ac:dyDescent="0.3">
      <c r="A38" s="180"/>
      <c r="B38" s="265" t="s">
        <v>37</v>
      </c>
      <c r="C38" s="264" t="s">
        <v>36</v>
      </c>
      <c r="D38" s="257">
        <v>1068.4000000000001</v>
      </c>
      <c r="E38" s="257">
        <v>2290.3000000000002</v>
      </c>
      <c r="F38" s="257">
        <v>3.6</v>
      </c>
      <c r="G38" s="263">
        <f>SUM(D38:F38)</f>
        <v>3362.3</v>
      </c>
      <c r="H38" s="256"/>
      <c r="I38" s="255">
        <f>G38+H38</f>
        <v>3362.3</v>
      </c>
      <c r="J38" s="258">
        <v>750</v>
      </c>
      <c r="K38" s="257">
        <v>1210.2</v>
      </c>
      <c r="L38" s="257">
        <v>120</v>
      </c>
      <c r="M38" s="256">
        <f>SUM(J38:L38)</f>
        <v>2080.1999999999998</v>
      </c>
      <c r="N38" s="256">
        <v>48</v>
      </c>
      <c r="O38" s="255">
        <f>M38+N38</f>
        <v>2128.1999999999998</v>
      </c>
      <c r="P38" s="258">
        <v>179.3</v>
      </c>
      <c r="Q38" s="257">
        <v>747.5</v>
      </c>
      <c r="R38" s="257">
        <v>143.9</v>
      </c>
      <c r="S38" s="256">
        <f>SUM(P38:R38)</f>
        <v>1070.7</v>
      </c>
      <c r="T38" s="256"/>
      <c r="U38" s="255">
        <f>S38+T38</f>
        <v>1070.7</v>
      </c>
      <c r="V38" s="258">
        <v>669.7</v>
      </c>
      <c r="W38" s="257">
        <v>1475.5</v>
      </c>
      <c r="X38" s="257">
        <v>85</v>
      </c>
      <c r="Y38" s="256">
        <f>SUM(V38:X38)</f>
        <v>2230.1999999999998</v>
      </c>
      <c r="Z38" s="256"/>
      <c r="AA38" s="255">
        <f>Y38+Z38</f>
        <v>2230.1999999999998</v>
      </c>
      <c r="AB38" s="254">
        <f>(AA38/O38)</f>
        <v>1.0479278263321117</v>
      </c>
      <c r="AC38" s="178"/>
      <c r="AD38" s="178"/>
    </row>
    <row r="39" spans="1:30" ht="15.75" thickBot="1" x14ac:dyDescent="0.3">
      <c r="A39" s="180"/>
      <c r="B39" s="253" t="s">
        <v>35</v>
      </c>
      <c r="C39" s="252" t="s">
        <v>34</v>
      </c>
      <c r="D39" s="251">
        <f>SUM(D35:D38)+SUM(D28:D32)</f>
        <v>7832.5999999999995</v>
      </c>
      <c r="E39" s="251">
        <f>SUM(E35:E38)+SUM(E28:E32)</f>
        <v>53105.4</v>
      </c>
      <c r="F39" s="251">
        <f>SUM(F35:F38)+SUM(F28:F32)</f>
        <v>993.30000000000007</v>
      </c>
      <c r="G39" s="250">
        <f>SUM(D39:F39)</f>
        <v>61931.3</v>
      </c>
      <c r="H39" s="249">
        <f>SUM(H28:H32)+SUM(H35:H38)</f>
        <v>3.7</v>
      </c>
      <c r="I39" s="248">
        <f>SUM(I35:I38)+SUM(I28:I32)</f>
        <v>61935.000000000007</v>
      </c>
      <c r="J39" s="251">
        <f>SUM(J35:J38)+SUM(J28:J32)</f>
        <v>7399.2</v>
      </c>
      <c r="K39" s="251">
        <f>SUM(K35:K38)+SUM(K28:K32)</f>
        <v>57891.8</v>
      </c>
      <c r="L39" s="251">
        <f>SUM(L35:L38)+SUM(L28:L32)</f>
        <v>2765.5</v>
      </c>
      <c r="M39" s="250">
        <f>SUM(J39:L39)</f>
        <v>68056.5</v>
      </c>
      <c r="N39" s="249">
        <f>SUM(N28:N32)+SUM(N35:N38)</f>
        <v>123</v>
      </c>
      <c r="O39" s="248">
        <f>SUM(O35:O38)+SUM(O28:O32)</f>
        <v>68179.5</v>
      </c>
      <c r="P39" s="251">
        <f>SUM(P35:P38)+SUM(P28:P32)</f>
        <v>3275.2</v>
      </c>
      <c r="Q39" s="251">
        <f>SUM(Q35:Q38)+SUM(Q28:Q32)</f>
        <v>26232.2</v>
      </c>
      <c r="R39" s="251">
        <f>SUM(R35:R38)+SUM(R28:R32)</f>
        <v>1369.1</v>
      </c>
      <c r="S39" s="250">
        <f>SUM(P39:R39)</f>
        <v>30876.5</v>
      </c>
      <c r="T39" s="249">
        <f>SUM(T28:T32)+SUM(T35:T38)</f>
        <v>0</v>
      </c>
      <c r="U39" s="248">
        <f>SUM(U35:U38)+SUM(U28:U32)</f>
        <v>30876.5</v>
      </c>
      <c r="V39" s="251">
        <f>SUM(V35:V38)+SUM(V28:V32)</f>
        <v>7384.9000000000005</v>
      </c>
      <c r="W39" s="251">
        <f>SUM(W35:W38)+SUM(W28:W32)</f>
        <v>57657.7</v>
      </c>
      <c r="X39" s="251">
        <f>SUM(X35:X38)+SUM(X28:X32)</f>
        <v>2810.5</v>
      </c>
      <c r="Y39" s="250">
        <f>SUM(V39:X39)</f>
        <v>67853.100000000006</v>
      </c>
      <c r="Z39" s="249">
        <f>SUM(Z28:Z32)+SUM(Z35:Z38)</f>
        <v>120</v>
      </c>
      <c r="AA39" s="248">
        <f>SUM(AA35:AA38)+SUM(AA28:AA32)</f>
        <v>67973.100000000006</v>
      </c>
      <c r="AB39" s="247">
        <f>(AA39/O39)</f>
        <v>0.99697269707170055</v>
      </c>
      <c r="AC39" s="178"/>
      <c r="AD39" s="178"/>
    </row>
    <row r="40" spans="1:30" ht="19.5" thickBot="1" x14ac:dyDescent="0.35">
      <c r="A40" s="180"/>
      <c r="B40" s="246" t="s">
        <v>33</v>
      </c>
      <c r="C40" s="245" t="s">
        <v>32</v>
      </c>
      <c r="D40" s="244">
        <f>D24-D39</f>
        <v>-696.19999999999982</v>
      </c>
      <c r="E40" s="244">
        <f>E24-E39</f>
        <v>0</v>
      </c>
      <c r="F40" s="244">
        <f>F24-F39</f>
        <v>611.99999999999989</v>
      </c>
      <c r="G40" s="243">
        <f>G24-G39</f>
        <v>-84.19999999999709</v>
      </c>
      <c r="H40" s="243">
        <f>H24-H39</f>
        <v>102.1</v>
      </c>
      <c r="I40" s="242">
        <f>I24-I39</f>
        <v>17.899999999994179</v>
      </c>
      <c r="J40" s="244">
        <f>J24-J39</f>
        <v>0</v>
      </c>
      <c r="K40" s="244">
        <f>K24-K39</f>
        <v>0</v>
      </c>
      <c r="L40" s="244">
        <f>L24-L39</f>
        <v>0</v>
      </c>
      <c r="M40" s="243">
        <f>M24-M39</f>
        <v>0</v>
      </c>
      <c r="N40" s="243">
        <f>N24-N39</f>
        <v>0</v>
      </c>
      <c r="O40" s="242">
        <f>O24-O39</f>
        <v>0</v>
      </c>
      <c r="P40" s="244">
        <f>P24-P39</f>
        <v>38.000000000000455</v>
      </c>
      <c r="Q40" s="244">
        <f>Q24-Q39</f>
        <v>0</v>
      </c>
      <c r="R40" s="244">
        <f>R24-R39</f>
        <v>48.900000000000091</v>
      </c>
      <c r="S40" s="243">
        <f>S24-S39</f>
        <v>86.900000000001455</v>
      </c>
      <c r="T40" s="243">
        <f>T24-T39</f>
        <v>33.1</v>
      </c>
      <c r="U40" s="242">
        <f>U24-U39</f>
        <v>120</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-6423.3000000000056</v>
      </c>
      <c r="J41" s="237"/>
      <c r="K41" s="236"/>
      <c r="L41" s="236"/>
      <c r="M41" s="235"/>
      <c r="N41" s="234"/>
      <c r="O41" s="233">
        <f>O40-J16</f>
        <v>-6506</v>
      </c>
      <c r="P41" s="237"/>
      <c r="Q41" s="236"/>
      <c r="R41" s="236"/>
      <c r="S41" s="235"/>
      <c r="T41" s="234"/>
      <c r="U41" s="233">
        <f>U40-P16</f>
        <v>-3067.9</v>
      </c>
      <c r="V41" s="237"/>
      <c r="W41" s="236"/>
      <c r="X41" s="236"/>
      <c r="Y41" s="235"/>
      <c r="Z41" s="234"/>
      <c r="AA41" s="233">
        <f>AA40-V16</f>
        <v>-6810</v>
      </c>
      <c r="AB41" s="232">
        <f>(AA41/O41)</f>
        <v>1.0467260989855518</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1307</v>
      </c>
      <c r="E44" s="225"/>
      <c r="F44" s="224">
        <v>0</v>
      </c>
      <c r="G44" s="202"/>
      <c r="H44" s="202"/>
      <c r="I44" s="201"/>
      <c r="J44" s="214">
        <v>821.9</v>
      </c>
      <c r="K44" s="225"/>
      <c r="L44" s="224">
        <v>0</v>
      </c>
      <c r="M44" s="223"/>
      <c r="N44" s="223"/>
      <c r="O44" s="223"/>
      <c r="P44" s="214">
        <v>821.9</v>
      </c>
      <c r="Q44" s="225"/>
      <c r="R44" s="224">
        <v>0</v>
      </c>
      <c r="S44" s="178"/>
      <c r="T44" s="178"/>
      <c r="U44" s="178"/>
      <c r="V44" s="214">
        <v>821.9</v>
      </c>
      <c r="W44" s="225"/>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c r="E50" s="210"/>
      <c r="F50" s="210"/>
      <c r="G50" s="209">
        <f>D50+E50-F50</f>
        <v>0</v>
      </c>
      <c r="H50" s="202"/>
      <c r="I50" s="178"/>
      <c r="J50" s="210"/>
      <c r="K50" s="210"/>
      <c r="L50" s="210"/>
      <c r="M50" s="209">
        <f>J50+K50-L50</f>
        <v>0</v>
      </c>
      <c r="N50" s="178"/>
      <c r="O50" s="178"/>
      <c r="P50" s="210"/>
      <c r="Q50" s="210"/>
      <c r="R50" s="210"/>
      <c r="S50" s="209">
        <f>P50+Q50-R50</f>
        <v>0</v>
      </c>
      <c r="T50" s="178"/>
      <c r="U50" s="178"/>
      <c r="V50" s="210"/>
      <c r="W50" s="210"/>
      <c r="X50" s="210"/>
      <c r="Y50" s="209">
        <f>V50+W50-X50</f>
        <v>0</v>
      </c>
      <c r="Z50" s="178"/>
      <c r="AA50" s="178"/>
      <c r="AB50" s="178"/>
      <c r="AC50" s="178"/>
      <c r="AD50" s="178"/>
    </row>
    <row r="51" spans="1:30" x14ac:dyDescent="0.25">
      <c r="A51" s="180"/>
      <c r="B51" s="204"/>
      <c r="C51" s="206" t="s">
        <v>15</v>
      </c>
      <c r="D51" s="210">
        <f>215.6+1384.5</f>
        <v>1600.1</v>
      </c>
      <c r="E51" s="210">
        <f>50+1226.5</f>
        <v>1276.5</v>
      </c>
      <c r="F51" s="210">
        <v>1361.5</v>
      </c>
      <c r="G51" s="209">
        <f>D51+E51-F51</f>
        <v>1515.1</v>
      </c>
      <c r="H51" s="202"/>
      <c r="I51" s="178"/>
      <c r="J51" s="210">
        <v>1515.1</v>
      </c>
      <c r="K51" s="210">
        <v>10</v>
      </c>
      <c r="L51" s="210">
        <f>50+1249.5</f>
        <v>1299.5</v>
      </c>
      <c r="M51" s="209">
        <f>J51+K51-L51</f>
        <v>225.59999999999991</v>
      </c>
      <c r="N51" s="178"/>
      <c r="O51" s="178"/>
      <c r="P51" s="210">
        <f>265.6+1249.5</f>
        <v>1515.1</v>
      </c>
      <c r="Q51" s="210">
        <f>14.3+1617</f>
        <v>1631.3</v>
      </c>
      <c r="R51" s="210">
        <f>50+1339.5</f>
        <v>1389.5</v>
      </c>
      <c r="S51" s="209">
        <f>P51+Q51-R51</f>
        <v>1756.8999999999996</v>
      </c>
      <c r="T51" s="178"/>
      <c r="U51" s="440"/>
      <c r="V51" s="210">
        <v>1756.8</v>
      </c>
      <c r="W51" s="210"/>
      <c r="X51" s="210">
        <v>1607</v>
      </c>
      <c r="Y51" s="209">
        <f>V51+W51-X51</f>
        <v>149.79999999999995</v>
      </c>
      <c r="Z51" s="178"/>
      <c r="AA51" s="440"/>
      <c r="AB51" s="178"/>
      <c r="AC51" s="178"/>
      <c r="AD51" s="178"/>
    </row>
    <row r="52" spans="1:30" x14ac:dyDescent="0.25">
      <c r="A52" s="180"/>
      <c r="B52" s="204"/>
      <c r="C52" s="206" t="s">
        <v>14</v>
      </c>
      <c r="D52" s="210">
        <v>816.25</v>
      </c>
      <c r="E52" s="210">
        <v>1234.5</v>
      </c>
      <c r="F52" s="210">
        <v>1396.9</v>
      </c>
      <c r="G52" s="209">
        <f>D52+E52-F52</f>
        <v>653.84999999999991</v>
      </c>
      <c r="H52" s="202"/>
      <c r="I52" s="178"/>
      <c r="J52" s="210">
        <v>653.9</v>
      </c>
      <c r="K52" s="210">
        <v>1120</v>
      </c>
      <c r="L52" s="210">
        <v>821.9</v>
      </c>
      <c r="M52" s="209">
        <f>J52+K52-L52</f>
        <v>952.00000000000011</v>
      </c>
      <c r="N52" s="178"/>
      <c r="O52" s="178"/>
      <c r="P52" s="210">
        <v>653.9</v>
      </c>
      <c r="Q52" s="210">
        <v>1120</v>
      </c>
      <c r="R52" s="210">
        <f>821.9+400</f>
        <v>1221.9000000000001</v>
      </c>
      <c r="S52" s="209">
        <f>P52+Q52-R52</f>
        <v>552</v>
      </c>
      <c r="T52" s="178"/>
      <c r="U52" s="178"/>
      <c r="V52" s="210">
        <v>552</v>
      </c>
      <c r="W52" s="210">
        <v>1096.3</v>
      </c>
      <c r="X52" s="210">
        <f>700+821</f>
        <v>1521</v>
      </c>
      <c r="Y52" s="209">
        <f>V52+W52-X52</f>
        <v>127.29999999999995</v>
      </c>
      <c r="Z52" s="178"/>
      <c r="AA52" s="178"/>
      <c r="AB52" s="178"/>
      <c r="AC52" s="178"/>
      <c r="AD52" s="178"/>
    </row>
    <row r="53" spans="1:30" x14ac:dyDescent="0.25">
      <c r="A53" s="180"/>
      <c r="B53" s="204"/>
      <c r="C53" s="206" t="s">
        <v>13</v>
      </c>
      <c r="D53" s="210">
        <v>191.91</v>
      </c>
      <c r="E53" s="210">
        <v>25.9</v>
      </c>
      <c r="F53" s="210">
        <v>28.1</v>
      </c>
      <c r="G53" s="209">
        <f>D53+E53-F53</f>
        <v>189.71</v>
      </c>
      <c r="H53" s="202"/>
      <c r="I53" s="178"/>
      <c r="J53" s="210">
        <v>189.7</v>
      </c>
      <c r="K53" s="210">
        <v>3.6</v>
      </c>
      <c r="L53" s="210">
        <v>50</v>
      </c>
      <c r="M53" s="209">
        <f>J53+K53-L53</f>
        <v>143.29999999999998</v>
      </c>
      <c r="N53" s="178"/>
      <c r="O53" s="178"/>
      <c r="P53" s="210">
        <v>189.7</v>
      </c>
      <c r="Q53" s="210">
        <v>3.6</v>
      </c>
      <c r="R53" s="210">
        <v>50</v>
      </c>
      <c r="S53" s="209">
        <f>P53+Q53-R53</f>
        <v>143.29999999999998</v>
      </c>
      <c r="T53" s="178"/>
      <c r="U53" s="178"/>
      <c r="V53" s="210">
        <v>143.30000000000001</v>
      </c>
      <c r="W53" s="210"/>
      <c r="X53" s="210">
        <v>50</v>
      </c>
      <c r="Y53" s="209">
        <f>V53+W53-X53</f>
        <v>93.300000000000011</v>
      </c>
      <c r="Z53" s="178"/>
      <c r="AA53" s="178"/>
      <c r="AB53" s="178"/>
      <c r="AC53" s="178"/>
      <c r="AD53" s="178"/>
    </row>
    <row r="54" spans="1:30" x14ac:dyDescent="0.25">
      <c r="A54" s="180"/>
      <c r="B54" s="204"/>
      <c r="C54" s="212" t="s">
        <v>12</v>
      </c>
      <c r="D54" s="210">
        <v>664.96</v>
      </c>
      <c r="E54" s="210">
        <v>762.5</v>
      </c>
      <c r="F54" s="210">
        <v>448.1</v>
      </c>
      <c r="G54" s="209">
        <f>D54+E54-F54</f>
        <v>979.36</v>
      </c>
      <c r="H54" s="202"/>
      <c r="I54" s="178"/>
      <c r="J54" s="210">
        <v>979.3</v>
      </c>
      <c r="K54" s="210">
        <v>803</v>
      </c>
      <c r="L54" s="210">
        <v>565</v>
      </c>
      <c r="M54" s="209">
        <f>J54+K54-L54</f>
        <v>1217.3</v>
      </c>
      <c r="N54" s="178"/>
      <c r="O54" s="178"/>
      <c r="P54" s="210">
        <v>979.3</v>
      </c>
      <c r="Q54" s="210">
        <v>803</v>
      </c>
      <c r="R54" s="210">
        <v>565</v>
      </c>
      <c r="S54" s="209">
        <f>P54+Q54-R54</f>
        <v>1217.3</v>
      </c>
      <c r="T54" s="178"/>
      <c r="U54" s="178"/>
      <c r="V54" s="210">
        <v>1217.3</v>
      </c>
      <c r="W54" s="210">
        <v>830</v>
      </c>
      <c r="X54" s="210">
        <v>1100</v>
      </c>
      <c r="Y54" s="209">
        <f>V54+W54-X54</f>
        <v>947.3</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84</v>
      </c>
      <c r="E57" s="205">
        <v>86</v>
      </c>
      <c r="F57" s="202"/>
      <c r="G57" s="202"/>
      <c r="H57" s="202"/>
      <c r="I57" s="201"/>
      <c r="J57" s="205">
        <v>84</v>
      </c>
      <c r="K57" s="202"/>
      <c r="L57" s="202"/>
      <c r="M57" s="202"/>
      <c r="N57" s="202"/>
      <c r="O57" s="201"/>
      <c r="P57" s="205">
        <v>86</v>
      </c>
      <c r="Q57" s="201"/>
      <c r="R57" s="201"/>
      <c r="S57" s="201"/>
      <c r="T57" s="201"/>
      <c r="U57" s="201"/>
      <c r="V57" s="205">
        <v>86</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t="s">
        <v>251</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194"/>
      <c r="C61" s="184"/>
      <c r="D61" s="184"/>
      <c r="E61" s="184"/>
      <c r="F61" s="184"/>
      <c r="G61" s="184"/>
      <c r="H61" s="184"/>
      <c r="I61" s="184"/>
      <c r="J61" s="184"/>
      <c r="K61" s="184"/>
      <c r="L61" s="184"/>
      <c r="M61" s="184"/>
      <c r="N61" s="184"/>
      <c r="O61" s="184"/>
      <c r="P61" s="184"/>
      <c r="Q61" s="184"/>
      <c r="R61" s="184"/>
      <c r="S61" s="184"/>
      <c r="T61" s="184"/>
      <c r="U61" s="184"/>
      <c r="V61" s="191"/>
      <c r="W61" s="191"/>
      <c r="X61" s="191"/>
      <c r="Y61" s="191"/>
      <c r="Z61" s="191"/>
      <c r="AA61" s="191"/>
      <c r="AB61" s="190"/>
      <c r="AC61" s="178"/>
      <c r="AD61" s="178"/>
    </row>
    <row r="62" spans="1:30" hidden="1"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hidden="1"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hidden="1"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hidden="1"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hidden="1"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hidden="1"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hidden="1"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hidden="1"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hidden="1"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hidden="1"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hidden="1"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hidden="1"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hidden="1"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hidden="1"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hidden="1"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hidden="1"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hidden="1"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hidden="1"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hidden="1"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hidden="1"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hidden="1"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hidden="1"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hidden="1"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hidden="1"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hidden="1"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44502</v>
      </c>
      <c r="D91" s="179" t="s">
        <v>4</v>
      </c>
      <c r="E91" s="184" t="s">
        <v>250</v>
      </c>
      <c r="F91" s="184"/>
      <c r="G91" s="184"/>
      <c r="H91" s="179"/>
      <c r="I91" s="179" t="s">
        <v>2</v>
      </c>
      <c r="J91" s="183" t="s">
        <v>249</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x14ac:dyDescent="0.25"/>
  </sheetData>
  <mergeCells count="65">
    <mergeCell ref="B10:B13"/>
    <mergeCell ref="J10:O10"/>
    <mergeCell ref="J11:M11"/>
    <mergeCell ref="J12:O12"/>
    <mergeCell ref="J13:L13"/>
    <mergeCell ref="M13:M14"/>
    <mergeCell ref="N13:N14"/>
    <mergeCell ref="N26:N27"/>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91:G91"/>
    <mergeCell ref="J91:M91"/>
    <mergeCell ref="B63:U63"/>
    <mergeCell ref="B82:U82"/>
    <mergeCell ref="H26:H27"/>
    <mergeCell ref="I26:I27"/>
    <mergeCell ref="V10:AA10"/>
    <mergeCell ref="V25:AA25"/>
    <mergeCell ref="Y13:Y14"/>
    <mergeCell ref="Z13:Z14"/>
    <mergeCell ref="S13:S14"/>
    <mergeCell ref="T13:T14"/>
    <mergeCell ref="U13:U14"/>
    <mergeCell ref="P25:U25"/>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cfRule type="cellIs" dxfId="51" priority="3" operator="equal">
      <formula>0</formula>
    </cfRule>
    <cfRule type="containsErrors" dxfId="50" priority="4">
      <formula>ISERROR(AB15)</formula>
    </cfRule>
  </conditionalFormatting>
  <conditionalFormatting sqref="AB28:AB41">
    <cfRule type="cellIs" dxfId="49" priority="1" operator="equal">
      <formula>0</formula>
    </cfRule>
    <cfRule type="containsErrors" dxfId="48" priority="2">
      <formula>ISERROR(AB28)</formula>
    </cfRule>
  </conditionalFormatting>
  <pageMargins left="0" right="0" top="1.1811023622047245" bottom="0.59055118110236227" header="0.31496062992125984" footer="0.31496062992125984"/>
  <pageSetup paperSize="8"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D276"/>
  <sheetViews>
    <sheetView showGridLines="0" zoomScale="80" zoomScaleNormal="80" zoomScaleSheetLayoutView="80" workbookViewId="0">
      <selection activeCell="V16" sqref="V16"/>
    </sheetView>
  </sheetViews>
  <sheetFormatPr defaultColWidth="0" defaultRowHeight="15" zeroHeight="1" x14ac:dyDescent="0.25"/>
  <cols>
    <col min="1" max="1" width="4.5703125" style="176" customWidth="1"/>
    <col min="2" max="2" width="9.140625" style="176" customWidth="1"/>
    <col min="3" max="3" width="65.7109375" style="176" customWidth="1"/>
    <col min="4" max="4" width="18"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8.85546875" style="176" customWidth="1"/>
    <col min="29" max="29" width="5.85546875" style="176" customWidth="1"/>
    <col min="30" max="30" width="0" style="176" hidden="1" customWidth="1"/>
    <col min="31" max="16384" width="9.140625" style="175" hidden="1"/>
  </cols>
  <sheetData>
    <row r="1" spans="1:30" s="483" customFormat="1" ht="18.75" x14ac:dyDescent="0.3">
      <c r="A1" s="489"/>
      <c r="B1" s="489"/>
      <c r="C1" s="489"/>
      <c r="D1" s="489"/>
      <c r="E1" s="489"/>
      <c r="F1" s="489"/>
      <c r="G1" s="489"/>
      <c r="H1" s="489"/>
      <c r="I1" s="489"/>
      <c r="J1" s="489"/>
      <c r="K1" s="489"/>
      <c r="L1" s="489"/>
      <c r="M1" s="655"/>
      <c r="N1" s="489"/>
      <c r="O1" s="489"/>
      <c r="P1" s="489"/>
      <c r="Q1" s="489"/>
      <c r="R1" s="489"/>
      <c r="S1" s="489"/>
      <c r="T1" s="489"/>
      <c r="U1" s="489"/>
      <c r="V1" s="484"/>
      <c r="W1" s="484"/>
      <c r="X1" s="484"/>
      <c r="Y1" s="484"/>
      <c r="Z1" s="484"/>
      <c r="AA1" s="484"/>
      <c r="AB1" s="484"/>
      <c r="AC1" s="484"/>
      <c r="AD1" s="654"/>
    </row>
    <row r="2" spans="1:30" s="483" customFormat="1" ht="18.75" x14ac:dyDescent="0.3">
      <c r="A2" s="489"/>
      <c r="B2" s="660" t="s">
        <v>109</v>
      </c>
      <c r="C2" s="489"/>
      <c r="D2" s="489"/>
      <c r="E2" s="489"/>
      <c r="F2" s="489"/>
      <c r="G2" s="489"/>
      <c r="H2" s="489"/>
      <c r="I2" s="489"/>
      <c r="J2" s="489"/>
      <c r="K2" s="489"/>
      <c r="L2" s="489"/>
      <c r="M2" s="655"/>
      <c r="N2" s="489"/>
      <c r="O2" s="489"/>
      <c r="P2" s="489"/>
      <c r="Q2" s="489"/>
      <c r="R2" s="489"/>
      <c r="S2" s="489"/>
      <c r="T2" s="489"/>
      <c r="U2" s="489"/>
      <c r="V2" s="484"/>
      <c r="W2" s="484"/>
      <c r="X2" s="484"/>
      <c r="Y2" s="484"/>
      <c r="Z2" s="484"/>
      <c r="AA2" s="484"/>
      <c r="AB2" s="484"/>
      <c r="AC2" s="484"/>
      <c r="AD2" s="654"/>
    </row>
    <row r="3" spans="1:30" s="483" customFormat="1" ht="7.5" customHeight="1" x14ac:dyDescent="0.3">
      <c r="A3" s="489"/>
      <c r="B3" s="489"/>
      <c r="C3" s="489"/>
      <c r="D3" s="489"/>
      <c r="E3" s="489"/>
      <c r="F3" s="489"/>
      <c r="G3" s="489"/>
      <c r="H3" s="489"/>
      <c r="I3" s="489"/>
      <c r="J3" s="489"/>
      <c r="K3" s="489"/>
      <c r="L3" s="489"/>
      <c r="M3" s="655"/>
      <c r="N3" s="489"/>
      <c r="O3" s="489"/>
      <c r="P3" s="489"/>
      <c r="Q3" s="489"/>
      <c r="R3" s="489"/>
      <c r="S3" s="489"/>
      <c r="T3" s="489"/>
      <c r="U3" s="489"/>
      <c r="V3" s="484"/>
      <c r="W3" s="484"/>
      <c r="X3" s="484"/>
      <c r="Y3" s="484"/>
      <c r="Z3" s="484"/>
      <c r="AA3" s="484"/>
      <c r="AB3" s="484"/>
      <c r="AC3" s="484"/>
      <c r="AD3" s="654"/>
    </row>
    <row r="4" spans="1:30" s="483" customFormat="1" ht="18.75" x14ac:dyDescent="0.3">
      <c r="A4" s="489"/>
      <c r="B4" s="489" t="s">
        <v>108</v>
      </c>
      <c r="C4" s="489"/>
      <c r="D4" s="659" t="s">
        <v>231</v>
      </c>
      <c r="E4" s="659"/>
      <c r="F4" s="659"/>
      <c r="G4" s="659"/>
      <c r="H4" s="659"/>
      <c r="I4" s="659"/>
      <c r="J4" s="659"/>
      <c r="K4" s="659"/>
      <c r="L4" s="659"/>
      <c r="M4" s="659"/>
      <c r="N4" s="659"/>
      <c r="O4" s="659"/>
      <c r="P4" s="659"/>
      <c r="Q4" s="659"/>
      <c r="R4" s="659"/>
      <c r="S4" s="659"/>
      <c r="T4" s="659"/>
      <c r="U4" s="659"/>
      <c r="V4" s="484"/>
      <c r="W4" s="484"/>
      <c r="X4" s="484"/>
      <c r="Y4" s="484"/>
      <c r="Z4" s="484"/>
      <c r="AA4" s="484"/>
      <c r="AB4" s="484"/>
      <c r="AC4" s="484"/>
      <c r="AD4" s="654"/>
    </row>
    <row r="5" spans="1:30" s="483" customFormat="1" ht="3.75" customHeight="1" x14ac:dyDescent="0.3">
      <c r="A5" s="489"/>
      <c r="B5" s="489"/>
      <c r="C5" s="489"/>
      <c r="D5" s="489"/>
      <c r="E5" s="489"/>
      <c r="F5" s="489"/>
      <c r="G5" s="489"/>
      <c r="H5" s="489"/>
      <c r="I5" s="489"/>
      <c r="J5" s="489"/>
      <c r="K5" s="489"/>
      <c r="L5" s="489"/>
      <c r="M5" s="655"/>
      <c r="N5" s="489"/>
      <c r="O5" s="489"/>
      <c r="P5" s="489"/>
      <c r="Q5" s="489"/>
      <c r="R5" s="489"/>
      <c r="S5" s="489"/>
      <c r="T5" s="489"/>
      <c r="U5" s="489"/>
      <c r="V5" s="484"/>
      <c r="W5" s="484"/>
      <c r="X5" s="484"/>
      <c r="Y5" s="484"/>
      <c r="Z5" s="484"/>
      <c r="AA5" s="484"/>
      <c r="AB5" s="484"/>
      <c r="AC5" s="484"/>
      <c r="AD5" s="654"/>
    </row>
    <row r="6" spans="1:30" s="483" customFormat="1" ht="18.75" x14ac:dyDescent="0.3">
      <c r="A6" s="489"/>
      <c r="B6" s="489" t="s">
        <v>106</v>
      </c>
      <c r="C6" s="489"/>
      <c r="D6" s="658">
        <v>46789685</v>
      </c>
      <c r="E6" s="489"/>
      <c r="F6" s="489"/>
      <c r="G6" s="489"/>
      <c r="H6" s="489"/>
      <c r="I6" s="489"/>
      <c r="J6" s="489"/>
      <c r="K6" s="489"/>
      <c r="L6" s="489"/>
      <c r="M6" s="655"/>
      <c r="N6" s="489"/>
      <c r="O6" s="489"/>
      <c r="P6" s="489"/>
      <c r="Q6" s="489"/>
      <c r="R6" s="489"/>
      <c r="S6" s="489"/>
      <c r="T6" s="489"/>
      <c r="U6" s="489"/>
      <c r="V6" s="484"/>
      <c r="W6" s="484"/>
      <c r="X6" s="484"/>
      <c r="Y6" s="484"/>
      <c r="Z6" s="484"/>
      <c r="AA6" s="484"/>
      <c r="AB6" s="484"/>
      <c r="AC6" s="484"/>
      <c r="AD6" s="654"/>
    </row>
    <row r="7" spans="1:30" s="483" customFormat="1" ht="3.75" customHeight="1" x14ac:dyDescent="0.3">
      <c r="A7" s="489"/>
      <c r="B7" s="489"/>
      <c r="C7" s="489"/>
      <c r="D7" s="657"/>
      <c r="E7" s="489"/>
      <c r="F7" s="489"/>
      <c r="G7" s="489"/>
      <c r="H7" s="489"/>
      <c r="I7" s="489"/>
      <c r="J7" s="489"/>
      <c r="K7" s="489"/>
      <c r="L7" s="489"/>
      <c r="M7" s="655"/>
      <c r="N7" s="489"/>
      <c r="O7" s="489"/>
      <c r="P7" s="489"/>
      <c r="Q7" s="489"/>
      <c r="R7" s="489"/>
      <c r="S7" s="489"/>
      <c r="T7" s="489"/>
      <c r="U7" s="489"/>
      <c r="V7" s="484"/>
      <c r="W7" s="484"/>
      <c r="X7" s="484"/>
      <c r="Y7" s="484"/>
      <c r="Z7" s="484"/>
      <c r="AA7" s="484"/>
      <c r="AB7" s="484"/>
      <c r="AC7" s="484"/>
      <c r="AD7" s="654"/>
    </row>
    <row r="8" spans="1:30" s="483" customFormat="1" ht="18.75" x14ac:dyDescent="0.3">
      <c r="A8" s="489"/>
      <c r="B8" s="489" t="s">
        <v>104</v>
      </c>
      <c r="C8" s="489"/>
      <c r="D8" s="656" t="s">
        <v>230</v>
      </c>
      <c r="E8" s="656"/>
      <c r="F8" s="656"/>
      <c r="G8" s="656"/>
      <c r="H8" s="656"/>
      <c r="I8" s="656"/>
      <c r="J8" s="656"/>
      <c r="K8" s="656"/>
      <c r="L8" s="656"/>
      <c r="M8" s="656"/>
      <c r="N8" s="656"/>
      <c r="O8" s="656"/>
      <c r="P8" s="656"/>
      <c r="Q8" s="656"/>
      <c r="R8" s="656"/>
      <c r="S8" s="656"/>
      <c r="T8" s="656"/>
      <c r="U8" s="656"/>
      <c r="V8" s="484"/>
      <c r="W8" s="484"/>
      <c r="X8" s="484"/>
      <c r="Y8" s="484"/>
      <c r="Z8" s="484"/>
      <c r="AA8" s="484"/>
      <c r="AB8" s="484"/>
      <c r="AC8" s="484"/>
      <c r="AD8" s="654"/>
    </row>
    <row r="9" spans="1:30" s="483" customFormat="1" ht="19.5" thickBot="1" x14ac:dyDescent="0.35">
      <c r="A9" s="489"/>
      <c r="B9" s="489"/>
      <c r="C9" s="489"/>
      <c r="D9" s="489"/>
      <c r="E9" s="489"/>
      <c r="F9" s="489"/>
      <c r="G9" s="489"/>
      <c r="H9" s="489"/>
      <c r="I9" s="489"/>
      <c r="J9" s="489"/>
      <c r="K9" s="489"/>
      <c r="L9" s="489"/>
      <c r="M9" s="655"/>
      <c r="N9" s="489"/>
      <c r="O9" s="489"/>
      <c r="P9" s="489"/>
      <c r="Q9" s="489"/>
      <c r="R9" s="489"/>
      <c r="S9" s="489"/>
      <c r="T9" s="489"/>
      <c r="U9" s="489"/>
      <c r="V9" s="484"/>
      <c r="W9" s="484"/>
      <c r="X9" s="484"/>
      <c r="Y9" s="484"/>
      <c r="Z9" s="484"/>
      <c r="AA9" s="484"/>
      <c r="AB9" s="484"/>
      <c r="AC9" s="484"/>
      <c r="AD9" s="654"/>
    </row>
    <row r="10" spans="1:30" s="483" customFormat="1" ht="29.25" customHeight="1" thickBot="1" x14ac:dyDescent="0.35">
      <c r="A10" s="489"/>
      <c r="B10" s="653" t="s">
        <v>67</v>
      </c>
      <c r="C10" s="585"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652" t="s">
        <v>68</v>
      </c>
      <c r="AC10" s="484"/>
      <c r="AD10" s="484"/>
    </row>
    <row r="11" spans="1:30" s="483" customFormat="1" ht="30.75" customHeight="1" thickBot="1" x14ac:dyDescent="0.35">
      <c r="A11" s="489"/>
      <c r="B11" s="647"/>
      <c r="C11" s="577"/>
      <c r="D11" s="651" t="s">
        <v>98</v>
      </c>
      <c r="E11" s="650"/>
      <c r="F11" s="650"/>
      <c r="G11" s="649"/>
      <c r="H11" s="648" t="s">
        <v>97</v>
      </c>
      <c r="I11" s="648" t="s">
        <v>96</v>
      </c>
      <c r="J11" s="651" t="s">
        <v>98</v>
      </c>
      <c r="K11" s="650"/>
      <c r="L11" s="650"/>
      <c r="M11" s="649"/>
      <c r="N11" s="648" t="s">
        <v>97</v>
      </c>
      <c r="O11" s="648" t="s">
        <v>96</v>
      </c>
      <c r="P11" s="651" t="s">
        <v>98</v>
      </c>
      <c r="Q11" s="650"/>
      <c r="R11" s="650"/>
      <c r="S11" s="649"/>
      <c r="T11" s="648" t="s">
        <v>97</v>
      </c>
      <c r="U11" s="648" t="s">
        <v>96</v>
      </c>
      <c r="V11" s="651" t="s">
        <v>98</v>
      </c>
      <c r="W11" s="650"/>
      <c r="X11" s="650"/>
      <c r="Y11" s="649"/>
      <c r="Z11" s="648" t="s">
        <v>97</v>
      </c>
      <c r="AA11" s="648" t="s">
        <v>96</v>
      </c>
      <c r="AB11" s="636"/>
      <c r="AC11" s="484"/>
      <c r="AD11" s="484"/>
    </row>
    <row r="12" spans="1:30" s="483" customFormat="1" ht="15.75" customHeight="1" thickBot="1" x14ac:dyDescent="0.35">
      <c r="A12" s="489"/>
      <c r="B12" s="647"/>
      <c r="C12" s="646"/>
      <c r="D12" s="645" t="s">
        <v>92</v>
      </c>
      <c r="E12" s="644"/>
      <c r="F12" s="644"/>
      <c r="G12" s="644"/>
      <c r="H12" s="644"/>
      <c r="I12" s="643"/>
      <c r="J12" s="645" t="s">
        <v>92</v>
      </c>
      <c r="K12" s="644"/>
      <c r="L12" s="644"/>
      <c r="M12" s="644"/>
      <c r="N12" s="644"/>
      <c r="O12" s="643"/>
      <c r="P12" s="645" t="s">
        <v>92</v>
      </c>
      <c r="Q12" s="644"/>
      <c r="R12" s="644"/>
      <c r="S12" s="644"/>
      <c r="T12" s="644"/>
      <c r="U12" s="643"/>
      <c r="V12" s="645" t="s">
        <v>92</v>
      </c>
      <c r="W12" s="644"/>
      <c r="X12" s="644"/>
      <c r="Y12" s="644"/>
      <c r="Z12" s="644"/>
      <c r="AA12" s="643"/>
      <c r="AB12" s="636"/>
      <c r="AC12" s="484"/>
      <c r="AD12" s="484"/>
    </row>
    <row r="13" spans="1:30" s="483" customFormat="1" ht="15.75" customHeight="1" thickBot="1" x14ac:dyDescent="0.35">
      <c r="A13" s="489"/>
      <c r="B13" s="642"/>
      <c r="C13" s="641"/>
      <c r="D13" s="640" t="s">
        <v>95</v>
      </c>
      <c r="E13" s="639"/>
      <c r="F13" s="639"/>
      <c r="G13" s="582" t="s">
        <v>94</v>
      </c>
      <c r="H13" s="638" t="s">
        <v>93</v>
      </c>
      <c r="I13" s="637" t="s">
        <v>92</v>
      </c>
      <c r="J13" s="640" t="s">
        <v>95</v>
      </c>
      <c r="K13" s="639"/>
      <c r="L13" s="639"/>
      <c r="M13" s="582" t="s">
        <v>94</v>
      </c>
      <c r="N13" s="638" t="s">
        <v>93</v>
      </c>
      <c r="O13" s="637" t="s">
        <v>92</v>
      </c>
      <c r="P13" s="640" t="s">
        <v>95</v>
      </c>
      <c r="Q13" s="639"/>
      <c r="R13" s="639"/>
      <c r="S13" s="582" t="s">
        <v>94</v>
      </c>
      <c r="T13" s="638" t="s">
        <v>93</v>
      </c>
      <c r="U13" s="637" t="s">
        <v>92</v>
      </c>
      <c r="V13" s="640" t="s">
        <v>95</v>
      </c>
      <c r="W13" s="639"/>
      <c r="X13" s="639"/>
      <c r="Y13" s="582" t="s">
        <v>94</v>
      </c>
      <c r="Z13" s="638" t="s">
        <v>93</v>
      </c>
      <c r="AA13" s="637" t="s">
        <v>92</v>
      </c>
      <c r="AB13" s="636"/>
      <c r="AC13" s="484"/>
      <c r="AD13" s="484"/>
    </row>
    <row r="14" spans="1:30" s="483" customFormat="1" ht="19.5" thickBot="1" x14ac:dyDescent="0.35">
      <c r="A14" s="489"/>
      <c r="B14" s="635"/>
      <c r="C14" s="634"/>
      <c r="D14" s="576" t="s">
        <v>91</v>
      </c>
      <c r="E14" s="575" t="s">
        <v>90</v>
      </c>
      <c r="F14" s="575" t="s">
        <v>89</v>
      </c>
      <c r="G14" s="573"/>
      <c r="H14" s="633"/>
      <c r="I14" s="632"/>
      <c r="J14" s="576" t="s">
        <v>91</v>
      </c>
      <c r="K14" s="575" t="s">
        <v>90</v>
      </c>
      <c r="L14" s="575" t="s">
        <v>89</v>
      </c>
      <c r="M14" s="573"/>
      <c r="N14" s="633"/>
      <c r="O14" s="632"/>
      <c r="P14" s="576" t="s">
        <v>91</v>
      </c>
      <c r="Q14" s="575" t="s">
        <v>90</v>
      </c>
      <c r="R14" s="575" t="s">
        <v>89</v>
      </c>
      <c r="S14" s="573"/>
      <c r="T14" s="633"/>
      <c r="U14" s="632"/>
      <c r="V14" s="576" t="s">
        <v>91</v>
      </c>
      <c r="W14" s="575" t="s">
        <v>90</v>
      </c>
      <c r="X14" s="575" t="s">
        <v>89</v>
      </c>
      <c r="Y14" s="573"/>
      <c r="Z14" s="633"/>
      <c r="AA14" s="632"/>
      <c r="AB14" s="631"/>
      <c r="AC14" s="484"/>
      <c r="AD14" s="484"/>
    </row>
    <row r="15" spans="1:30" s="483" customFormat="1" ht="18.75" x14ac:dyDescent="0.3">
      <c r="A15" s="489"/>
      <c r="B15" s="569" t="s">
        <v>88</v>
      </c>
      <c r="C15" s="630" t="s">
        <v>87</v>
      </c>
      <c r="D15" s="629"/>
      <c r="E15" s="628"/>
      <c r="F15" s="627">
        <v>2000</v>
      </c>
      <c r="G15" s="626">
        <f>SUM(D15:F15)</f>
        <v>2000</v>
      </c>
      <c r="H15" s="617">
        <v>0</v>
      </c>
      <c r="I15" s="551">
        <f>G15+H15</f>
        <v>2000</v>
      </c>
      <c r="J15" s="629"/>
      <c r="K15" s="628"/>
      <c r="L15" s="627">
        <v>2000</v>
      </c>
      <c r="M15" s="626">
        <f>SUM(J15:L15)</f>
        <v>2000</v>
      </c>
      <c r="N15" s="617">
        <v>0</v>
      </c>
      <c r="O15" s="551">
        <f>M15+N15</f>
        <v>2000</v>
      </c>
      <c r="P15" s="629"/>
      <c r="Q15" s="628"/>
      <c r="R15" s="627">
        <v>2000</v>
      </c>
      <c r="S15" s="626">
        <f>SUM(P15:R15)</f>
        <v>2000</v>
      </c>
      <c r="T15" s="617">
        <v>0</v>
      </c>
      <c r="U15" s="551">
        <f>S15+T15</f>
        <v>2000</v>
      </c>
      <c r="V15" s="629"/>
      <c r="W15" s="628"/>
      <c r="X15" s="627">
        <v>2000</v>
      </c>
      <c r="Y15" s="626">
        <f>SUM(V15:X15)</f>
        <v>2000</v>
      </c>
      <c r="Z15" s="617">
        <v>0</v>
      </c>
      <c r="AA15" s="551">
        <f>Y15+Z15</f>
        <v>2000</v>
      </c>
      <c r="AB15" s="526">
        <f>(AA15/O15)</f>
        <v>1</v>
      </c>
      <c r="AC15" s="484"/>
      <c r="AD15" s="484"/>
    </row>
    <row r="16" spans="1:30" s="483" customFormat="1" ht="18.75" x14ac:dyDescent="0.3">
      <c r="A16" s="489"/>
      <c r="B16" s="555" t="s">
        <v>86</v>
      </c>
      <c r="C16" s="625" t="s">
        <v>85</v>
      </c>
      <c r="D16" s="624">
        <v>4480.7</v>
      </c>
      <c r="E16" s="610"/>
      <c r="F16" s="610"/>
      <c r="G16" s="608">
        <f>SUM(D16:F16)</f>
        <v>4480.7</v>
      </c>
      <c r="H16" s="623"/>
      <c r="I16" s="551">
        <f>G16+H16</f>
        <v>4480.7</v>
      </c>
      <c r="J16" s="624">
        <v>4793.7</v>
      </c>
      <c r="K16" s="610"/>
      <c r="L16" s="610"/>
      <c r="M16" s="608">
        <f>SUM(J16:L16)</f>
        <v>4793.7</v>
      </c>
      <c r="N16" s="623"/>
      <c r="O16" s="551">
        <f>M16+N16</f>
        <v>4793.7</v>
      </c>
      <c r="P16" s="624">
        <v>4697.8</v>
      </c>
      <c r="Q16" s="610"/>
      <c r="R16" s="610"/>
      <c r="S16" s="608">
        <f>SUM(P16:R16)</f>
        <v>4697.8</v>
      </c>
      <c r="T16" s="623"/>
      <c r="U16" s="551">
        <f>S16+T16</f>
        <v>4697.8</v>
      </c>
      <c r="V16" s="624">
        <v>5280</v>
      </c>
      <c r="W16" s="610"/>
      <c r="X16" s="610"/>
      <c r="Y16" s="608">
        <f>SUM(V16:X16)</f>
        <v>5280</v>
      </c>
      <c r="Z16" s="623"/>
      <c r="AA16" s="551">
        <f>Y16+Z16</f>
        <v>5280</v>
      </c>
      <c r="AB16" s="526">
        <f>(AA16/O16)</f>
        <v>1.1014456474122285</v>
      </c>
      <c r="AC16" s="484"/>
      <c r="AD16" s="484"/>
    </row>
    <row r="17" spans="1:30" s="483" customFormat="1" ht="18.75" x14ac:dyDescent="0.3">
      <c r="A17" s="489"/>
      <c r="B17" s="555" t="s">
        <v>84</v>
      </c>
      <c r="C17" s="622" t="s">
        <v>83</v>
      </c>
      <c r="D17" s="621">
        <v>366.3</v>
      </c>
      <c r="E17" s="615"/>
      <c r="F17" s="615"/>
      <c r="G17" s="608">
        <f>SUM(D17:F17)</f>
        <v>366.3</v>
      </c>
      <c r="H17" s="620"/>
      <c r="I17" s="551">
        <f>G17+H17</f>
        <v>366.3</v>
      </c>
      <c r="J17" s="621">
        <v>426.1</v>
      </c>
      <c r="K17" s="615"/>
      <c r="L17" s="615"/>
      <c r="M17" s="608">
        <f>SUM(J17:L17)</f>
        <v>426.1</v>
      </c>
      <c r="N17" s="620"/>
      <c r="O17" s="551">
        <f>M17+N17</f>
        <v>426.1</v>
      </c>
      <c r="P17" s="621">
        <v>426.1</v>
      </c>
      <c r="Q17" s="615"/>
      <c r="R17" s="615"/>
      <c r="S17" s="608">
        <f>SUM(P17:R17)</f>
        <v>426.1</v>
      </c>
      <c r="T17" s="620"/>
      <c r="U17" s="551">
        <f>S17+T17</f>
        <v>426.1</v>
      </c>
      <c r="V17" s="621">
        <v>328.7</v>
      </c>
      <c r="W17" s="615"/>
      <c r="X17" s="615"/>
      <c r="Y17" s="608">
        <f>SUM(V17:X17)</f>
        <v>328.7</v>
      </c>
      <c r="Z17" s="620"/>
      <c r="AA17" s="551">
        <f>Y17+Z17</f>
        <v>328.7</v>
      </c>
      <c r="AB17" s="526">
        <f>(AA17/O17)</f>
        <v>0.77141516076038485</v>
      </c>
      <c r="AC17" s="484"/>
      <c r="AD17" s="484"/>
    </row>
    <row r="18" spans="1:30" s="483" customFormat="1" ht="18.75" x14ac:dyDescent="0.3">
      <c r="A18" s="489"/>
      <c r="B18" s="555" t="s">
        <v>82</v>
      </c>
      <c r="C18" s="619" t="s">
        <v>81</v>
      </c>
      <c r="D18" s="611"/>
      <c r="E18" s="618">
        <v>41954</v>
      </c>
      <c r="F18" s="615"/>
      <c r="G18" s="608">
        <f>SUM(D18:F18)</f>
        <v>41954</v>
      </c>
      <c r="H18" s="617"/>
      <c r="I18" s="551">
        <f>G18+H18</f>
        <v>41954</v>
      </c>
      <c r="J18" s="611"/>
      <c r="K18" s="618">
        <v>44400</v>
      </c>
      <c r="L18" s="615"/>
      <c r="M18" s="608">
        <f>SUM(J18:L18)</f>
        <v>44400</v>
      </c>
      <c r="N18" s="617"/>
      <c r="O18" s="551">
        <f>M18+N18</f>
        <v>44400</v>
      </c>
      <c r="P18" s="611"/>
      <c r="Q18" s="618">
        <v>45502</v>
      </c>
      <c r="R18" s="615"/>
      <c r="S18" s="608">
        <f>SUM(P18:R18)</f>
        <v>45502</v>
      </c>
      <c r="T18" s="617"/>
      <c r="U18" s="551">
        <f>S18+T18</f>
        <v>45502</v>
      </c>
      <c r="V18" s="611"/>
      <c r="W18" s="618">
        <v>46002</v>
      </c>
      <c r="X18" s="615"/>
      <c r="Y18" s="608">
        <f>SUM(V18:X18)</f>
        <v>46002</v>
      </c>
      <c r="Z18" s="617"/>
      <c r="AA18" s="551">
        <f>Y18+Z18</f>
        <v>46002</v>
      </c>
      <c r="AB18" s="526">
        <f>(AA18/O18)</f>
        <v>1.036081081081081</v>
      </c>
      <c r="AC18" s="484"/>
      <c r="AD18" s="484"/>
    </row>
    <row r="19" spans="1:30" s="483" customFormat="1" ht="18.75" x14ac:dyDescent="0.3">
      <c r="A19" s="489"/>
      <c r="B19" s="555" t="s">
        <v>80</v>
      </c>
      <c r="C19" s="559" t="s">
        <v>79</v>
      </c>
      <c r="D19" s="616"/>
      <c r="E19" s="615"/>
      <c r="F19" s="614"/>
      <c r="G19" s="608">
        <f>SUM(D19:F19)</f>
        <v>0</v>
      </c>
      <c r="H19" s="612"/>
      <c r="I19" s="551">
        <f>G19+H19</f>
        <v>0</v>
      </c>
      <c r="J19" s="616"/>
      <c r="K19" s="615"/>
      <c r="L19" s="614">
        <v>957</v>
      </c>
      <c r="M19" s="608">
        <f>SUM(J19:L19)</f>
        <v>957</v>
      </c>
      <c r="N19" s="612"/>
      <c r="O19" s="551">
        <f>M19+N19</f>
        <v>957</v>
      </c>
      <c r="P19" s="616"/>
      <c r="Q19" s="615"/>
      <c r="R19" s="614">
        <v>957</v>
      </c>
      <c r="S19" s="608">
        <f>SUM(P19:R19)</f>
        <v>957</v>
      </c>
      <c r="T19" s="612"/>
      <c r="U19" s="551">
        <f>S19+T19</f>
        <v>957</v>
      </c>
      <c r="V19" s="616"/>
      <c r="W19" s="615"/>
      <c r="X19" s="614">
        <v>957</v>
      </c>
      <c r="Y19" s="608">
        <f>SUM(V19:X19)</f>
        <v>957</v>
      </c>
      <c r="Z19" s="612"/>
      <c r="AA19" s="551">
        <f>Y19+Z19</f>
        <v>957</v>
      </c>
      <c r="AB19" s="526">
        <f>(AA19/O19)</f>
        <v>1</v>
      </c>
      <c r="AC19" s="484"/>
      <c r="AD19" s="484"/>
    </row>
    <row r="20" spans="1:30" s="483" customFormat="1" ht="18.75" x14ac:dyDescent="0.3">
      <c r="A20" s="489"/>
      <c r="B20" s="555" t="s">
        <v>78</v>
      </c>
      <c r="C20" s="613" t="s">
        <v>77</v>
      </c>
      <c r="D20" s="611"/>
      <c r="E20" s="610"/>
      <c r="F20" s="609">
        <v>100</v>
      </c>
      <c r="G20" s="608"/>
      <c r="H20" s="612"/>
      <c r="I20" s="551">
        <v>100</v>
      </c>
      <c r="J20" s="611"/>
      <c r="K20" s="610"/>
      <c r="L20" s="609"/>
      <c r="M20" s="608">
        <f>SUM(J20:L20)</f>
        <v>0</v>
      </c>
      <c r="N20" s="612"/>
      <c r="O20" s="551">
        <f>M20+N20</f>
        <v>0</v>
      </c>
      <c r="P20" s="611"/>
      <c r="Q20" s="610"/>
      <c r="R20" s="609"/>
      <c r="S20" s="608">
        <f>SUM(P20:R20)</f>
        <v>0</v>
      </c>
      <c r="T20" s="612"/>
      <c r="U20" s="551">
        <f>S20+T20</f>
        <v>0</v>
      </c>
      <c r="V20" s="611"/>
      <c r="W20" s="610"/>
      <c r="X20" s="609"/>
      <c r="Y20" s="608">
        <f>SUM(V20:X20)</f>
        <v>0</v>
      </c>
      <c r="Z20" s="612"/>
      <c r="AA20" s="551">
        <f>Y20+Z20</f>
        <v>0</v>
      </c>
      <c r="AB20" s="526" t="e">
        <f>(AA20/O20)</f>
        <v>#DIV/0!</v>
      </c>
      <c r="AC20" s="484"/>
      <c r="AD20" s="484"/>
    </row>
    <row r="21" spans="1:30" s="483" customFormat="1" ht="18.75" x14ac:dyDescent="0.3">
      <c r="A21" s="489"/>
      <c r="B21" s="555" t="s">
        <v>76</v>
      </c>
      <c r="C21" s="554" t="s">
        <v>75</v>
      </c>
      <c r="D21" s="611"/>
      <c r="E21" s="610"/>
      <c r="F21" s="609">
        <v>1450</v>
      </c>
      <c r="G21" s="608">
        <f>SUM(D21:F21)</f>
        <v>1450</v>
      </c>
      <c r="H21" s="607"/>
      <c r="I21" s="551">
        <f>G21+H21</f>
        <v>1450</v>
      </c>
      <c r="J21" s="611"/>
      <c r="K21" s="610"/>
      <c r="L21" s="609">
        <v>2000</v>
      </c>
      <c r="M21" s="608">
        <f>SUM(J21:L21)</f>
        <v>2000</v>
      </c>
      <c r="N21" s="607"/>
      <c r="O21" s="551">
        <f>M21+N21</f>
        <v>2000</v>
      </c>
      <c r="P21" s="611"/>
      <c r="Q21" s="610"/>
      <c r="R21" s="609">
        <v>2000</v>
      </c>
      <c r="S21" s="608">
        <f>SUM(P21:R21)</f>
        <v>2000</v>
      </c>
      <c r="T21" s="607"/>
      <c r="U21" s="551">
        <f>S21+T21</f>
        <v>2000</v>
      </c>
      <c r="V21" s="611"/>
      <c r="W21" s="610"/>
      <c r="X21" s="609">
        <v>1500</v>
      </c>
      <c r="Y21" s="608">
        <f>SUM(V21:X21)</f>
        <v>1500</v>
      </c>
      <c r="Z21" s="607"/>
      <c r="AA21" s="551">
        <f>Y21+Z21</f>
        <v>1500</v>
      </c>
      <c r="AB21" s="526">
        <f>(AA21/O21)</f>
        <v>0.75</v>
      </c>
      <c r="AC21" s="484"/>
      <c r="AD21" s="484"/>
    </row>
    <row r="22" spans="1:30" s="483" customFormat="1" ht="18.75" x14ac:dyDescent="0.3">
      <c r="A22" s="489"/>
      <c r="B22" s="555" t="s">
        <v>74</v>
      </c>
      <c r="C22" s="554" t="s">
        <v>73</v>
      </c>
      <c r="D22" s="611"/>
      <c r="E22" s="610"/>
      <c r="F22" s="609"/>
      <c r="G22" s="608">
        <f>SUM(D22:F22)</f>
        <v>0</v>
      </c>
      <c r="H22" s="607"/>
      <c r="I22" s="551">
        <f>G22+H22</f>
        <v>0</v>
      </c>
      <c r="J22" s="611"/>
      <c r="K22" s="610"/>
      <c r="L22" s="609">
        <v>200</v>
      </c>
      <c r="M22" s="608">
        <f>SUM(J22:L22)</f>
        <v>200</v>
      </c>
      <c r="N22" s="607"/>
      <c r="O22" s="551">
        <f>M22+N22</f>
        <v>200</v>
      </c>
      <c r="P22" s="611"/>
      <c r="Q22" s="610"/>
      <c r="R22" s="609">
        <v>200</v>
      </c>
      <c r="S22" s="608">
        <f>SUM(P22:R22)</f>
        <v>200</v>
      </c>
      <c r="T22" s="607"/>
      <c r="U22" s="551">
        <f>S22+T22</f>
        <v>200</v>
      </c>
      <c r="V22" s="611"/>
      <c r="W22" s="610"/>
      <c r="X22" s="609">
        <v>250</v>
      </c>
      <c r="Y22" s="608">
        <f>SUM(V22:X22)</f>
        <v>250</v>
      </c>
      <c r="Z22" s="607"/>
      <c r="AA22" s="551">
        <f>Y22+Z22</f>
        <v>250</v>
      </c>
      <c r="AB22" s="526">
        <f>(AA22/O22)</f>
        <v>1.25</v>
      </c>
      <c r="AC22" s="484"/>
      <c r="AD22" s="484"/>
    </row>
    <row r="23" spans="1:30" s="483" customFormat="1" ht="19.5" thickBot="1" x14ac:dyDescent="0.35">
      <c r="A23" s="489"/>
      <c r="B23" s="606" t="s">
        <v>72</v>
      </c>
      <c r="C23" s="605" t="s">
        <v>71</v>
      </c>
      <c r="D23" s="604"/>
      <c r="E23" s="603"/>
      <c r="F23" s="602"/>
      <c r="G23" s="601">
        <f>SUM(D23:F23)</f>
        <v>0</v>
      </c>
      <c r="H23" s="600"/>
      <c r="I23" s="544">
        <f>G23+H23</f>
        <v>0</v>
      </c>
      <c r="J23" s="604"/>
      <c r="K23" s="603"/>
      <c r="L23" s="602"/>
      <c r="M23" s="601">
        <f>SUM(J23:L23)</f>
        <v>0</v>
      </c>
      <c r="N23" s="600"/>
      <c r="O23" s="544">
        <f>M23+N23</f>
        <v>0</v>
      </c>
      <c r="P23" s="604"/>
      <c r="Q23" s="603"/>
      <c r="R23" s="602"/>
      <c r="S23" s="601">
        <f>SUM(P23:R23)</f>
        <v>0</v>
      </c>
      <c r="T23" s="600"/>
      <c r="U23" s="544">
        <f>S23+T23</f>
        <v>0</v>
      </c>
      <c r="V23" s="604"/>
      <c r="W23" s="603"/>
      <c r="X23" s="602"/>
      <c r="Y23" s="601">
        <f>SUM(V23:X23)</f>
        <v>0</v>
      </c>
      <c r="Z23" s="600"/>
      <c r="AA23" s="544">
        <f>Y23+Z23</f>
        <v>0</v>
      </c>
      <c r="AB23" s="543" t="e">
        <f>(AA23/O23)</f>
        <v>#DIV/0!</v>
      </c>
      <c r="AC23" s="484"/>
      <c r="AD23" s="484"/>
    </row>
    <row r="24" spans="1:30" s="483" customFormat="1" ht="19.5" thickBot="1" x14ac:dyDescent="0.35">
      <c r="A24" s="489"/>
      <c r="B24" s="542" t="s">
        <v>70</v>
      </c>
      <c r="C24" s="599" t="s">
        <v>69</v>
      </c>
      <c r="D24" s="598">
        <f>SUM(D15:D21)</f>
        <v>4847</v>
      </c>
      <c r="E24" s="597">
        <f>SUM(E15:E21)</f>
        <v>41954</v>
      </c>
      <c r="F24" s="597">
        <f>SUM(F15:F21)</f>
        <v>3550</v>
      </c>
      <c r="G24" s="596">
        <f>SUM(D24:F24)</f>
        <v>50351</v>
      </c>
      <c r="H24" s="595">
        <f>SUM(H15:H21)</f>
        <v>0</v>
      </c>
      <c r="I24" s="595">
        <f>SUM(I15:I21)</f>
        <v>50351</v>
      </c>
      <c r="J24" s="598">
        <f>SUM(J15:J21)</f>
        <v>5219.8</v>
      </c>
      <c r="K24" s="597">
        <f>SUM(K15:K21)</f>
        <v>44400</v>
      </c>
      <c r="L24" s="597">
        <f>SUM(L15:L21)</f>
        <v>4957</v>
      </c>
      <c r="M24" s="596">
        <f>SUM(J24:L24)</f>
        <v>54576.800000000003</v>
      </c>
      <c r="N24" s="595">
        <f>SUM(N15:N21)</f>
        <v>0</v>
      </c>
      <c r="O24" s="595">
        <f>SUM(O15:O21)</f>
        <v>54576.800000000003</v>
      </c>
      <c r="P24" s="598">
        <f>SUM(P15:P21)</f>
        <v>5123.9000000000005</v>
      </c>
      <c r="Q24" s="597">
        <f>SUM(Q15:Q21)</f>
        <v>45502</v>
      </c>
      <c r="R24" s="597">
        <f>SUM(R15:R21)</f>
        <v>4957</v>
      </c>
      <c r="S24" s="596">
        <f>SUM(P24:R24)</f>
        <v>55582.9</v>
      </c>
      <c r="T24" s="595">
        <f>SUM(T15:T21)</f>
        <v>0</v>
      </c>
      <c r="U24" s="595">
        <f>SUM(U15:U21)</f>
        <v>55582.9</v>
      </c>
      <c r="V24" s="598">
        <f>SUM(V15:V21)</f>
        <v>5608.7</v>
      </c>
      <c r="W24" s="597">
        <f>SUM(W15:W21)</f>
        <v>46002</v>
      </c>
      <c r="X24" s="597">
        <f>SUM(X15:X21)</f>
        <v>4457</v>
      </c>
      <c r="Y24" s="596">
        <f>SUM(V24:X24)</f>
        <v>56067.7</v>
      </c>
      <c r="Z24" s="595">
        <f>SUM(Z15:Z21)</f>
        <v>0</v>
      </c>
      <c r="AA24" s="595">
        <f>SUM(AA15:AA21)</f>
        <v>56067.7</v>
      </c>
      <c r="AB24" s="594">
        <f>(AA24/O24)</f>
        <v>1.027317468228258</v>
      </c>
      <c r="AC24" s="484"/>
      <c r="AD24" s="484"/>
    </row>
    <row r="25" spans="1:30" s="483" customFormat="1" ht="15.75" customHeight="1" thickBot="1" x14ac:dyDescent="0.35">
      <c r="A25" s="489"/>
      <c r="B25" s="593"/>
      <c r="C25" s="592"/>
      <c r="D25" s="591" t="s">
        <v>62</v>
      </c>
      <c r="E25" s="590"/>
      <c r="F25" s="590"/>
      <c r="G25" s="589"/>
      <c r="H25" s="589"/>
      <c r="I25" s="588"/>
      <c r="J25" s="591" t="s">
        <v>62</v>
      </c>
      <c r="K25" s="590"/>
      <c r="L25" s="590"/>
      <c r="M25" s="589"/>
      <c r="N25" s="589"/>
      <c r="O25" s="588"/>
      <c r="P25" s="591" t="s">
        <v>62</v>
      </c>
      <c r="Q25" s="590"/>
      <c r="R25" s="590"/>
      <c r="S25" s="589"/>
      <c r="T25" s="589"/>
      <c r="U25" s="588"/>
      <c r="V25" s="591" t="s">
        <v>62</v>
      </c>
      <c r="W25" s="590"/>
      <c r="X25" s="590"/>
      <c r="Y25" s="589"/>
      <c r="Z25" s="589"/>
      <c r="AA25" s="588"/>
      <c r="AB25" s="587" t="s">
        <v>68</v>
      </c>
      <c r="AC25" s="484"/>
      <c r="AD25" s="484"/>
    </row>
    <row r="26" spans="1:30" s="483" customFormat="1" ht="19.5" thickBot="1" x14ac:dyDescent="0.35">
      <c r="A26" s="489"/>
      <c r="B26" s="586" t="s">
        <v>67</v>
      </c>
      <c r="C26" s="585" t="s">
        <v>66</v>
      </c>
      <c r="D26" s="584" t="s">
        <v>229</v>
      </c>
      <c r="E26" s="583"/>
      <c r="F26" s="583"/>
      <c r="G26" s="582" t="s">
        <v>64</v>
      </c>
      <c r="H26" s="581" t="s">
        <v>63</v>
      </c>
      <c r="I26" s="580" t="s">
        <v>62</v>
      </c>
      <c r="J26" s="584" t="s">
        <v>229</v>
      </c>
      <c r="K26" s="583"/>
      <c r="L26" s="583"/>
      <c r="M26" s="582" t="s">
        <v>64</v>
      </c>
      <c r="N26" s="581" t="s">
        <v>63</v>
      </c>
      <c r="O26" s="580" t="s">
        <v>62</v>
      </c>
      <c r="P26" s="584" t="s">
        <v>229</v>
      </c>
      <c r="Q26" s="583"/>
      <c r="R26" s="583"/>
      <c r="S26" s="582" t="s">
        <v>64</v>
      </c>
      <c r="T26" s="581" t="s">
        <v>63</v>
      </c>
      <c r="U26" s="580" t="s">
        <v>62</v>
      </c>
      <c r="V26" s="584" t="s">
        <v>229</v>
      </c>
      <c r="W26" s="583"/>
      <c r="X26" s="583"/>
      <c r="Y26" s="582" t="s">
        <v>64</v>
      </c>
      <c r="Z26" s="581" t="s">
        <v>63</v>
      </c>
      <c r="AA26" s="580" t="s">
        <v>62</v>
      </c>
      <c r="AB26" s="579"/>
      <c r="AC26" s="484"/>
      <c r="AD26" s="484"/>
    </row>
    <row r="27" spans="1:30" s="483" customFormat="1" ht="19.5" thickBot="1" x14ac:dyDescent="0.35">
      <c r="A27" s="489"/>
      <c r="B27" s="578"/>
      <c r="C27" s="577"/>
      <c r="D27" s="576" t="s">
        <v>61</v>
      </c>
      <c r="E27" s="575" t="s">
        <v>60</v>
      </c>
      <c r="F27" s="574" t="s">
        <v>59</v>
      </c>
      <c r="G27" s="573"/>
      <c r="H27" s="572"/>
      <c r="I27" s="571"/>
      <c r="J27" s="576" t="s">
        <v>61</v>
      </c>
      <c r="K27" s="575" t="s">
        <v>60</v>
      </c>
      <c r="L27" s="574" t="s">
        <v>59</v>
      </c>
      <c r="M27" s="573"/>
      <c r="N27" s="572"/>
      <c r="O27" s="571"/>
      <c r="P27" s="576" t="s">
        <v>61</v>
      </c>
      <c r="Q27" s="575" t="s">
        <v>60</v>
      </c>
      <c r="R27" s="574" t="s">
        <v>59</v>
      </c>
      <c r="S27" s="573"/>
      <c r="T27" s="572"/>
      <c r="U27" s="571"/>
      <c r="V27" s="576" t="s">
        <v>61</v>
      </c>
      <c r="W27" s="575" t="s">
        <v>60</v>
      </c>
      <c r="X27" s="574" t="s">
        <v>59</v>
      </c>
      <c r="Y27" s="573"/>
      <c r="Z27" s="572"/>
      <c r="AA27" s="571"/>
      <c r="AB27" s="570"/>
      <c r="AC27" s="484"/>
      <c r="AD27" s="484"/>
    </row>
    <row r="28" spans="1:30" s="483" customFormat="1" ht="18.75" x14ac:dyDescent="0.3">
      <c r="A28" s="489"/>
      <c r="B28" s="569" t="s">
        <v>58</v>
      </c>
      <c r="C28" s="568" t="s">
        <v>57</v>
      </c>
      <c r="D28" s="566">
        <v>390</v>
      </c>
      <c r="E28" s="566"/>
      <c r="F28" s="566"/>
      <c r="G28" s="565">
        <f>SUM(D28:F28)</f>
        <v>390</v>
      </c>
      <c r="H28" s="565"/>
      <c r="I28" s="564">
        <f>G28+H28</f>
        <v>390</v>
      </c>
      <c r="J28" s="567">
        <v>310</v>
      </c>
      <c r="K28" s="566"/>
      <c r="L28" s="566">
        <v>100</v>
      </c>
      <c r="M28" s="565">
        <f>SUM(J28:L28)</f>
        <v>410</v>
      </c>
      <c r="N28" s="565"/>
      <c r="O28" s="564">
        <f>M28+N28</f>
        <v>410</v>
      </c>
      <c r="P28" s="567">
        <v>285</v>
      </c>
      <c r="Q28" s="566"/>
      <c r="R28" s="566">
        <v>100</v>
      </c>
      <c r="S28" s="565">
        <f>SUM(P28:R28)</f>
        <v>385</v>
      </c>
      <c r="T28" s="565"/>
      <c r="U28" s="564">
        <f>S28+T28</f>
        <v>385</v>
      </c>
      <c r="V28" s="567">
        <v>350</v>
      </c>
      <c r="W28" s="566"/>
      <c r="X28" s="566">
        <v>100</v>
      </c>
      <c r="Y28" s="565">
        <f>SUM(V28:X28)</f>
        <v>450</v>
      </c>
      <c r="Z28" s="565"/>
      <c r="AA28" s="564">
        <f>Y28+Z28</f>
        <v>450</v>
      </c>
      <c r="AB28" s="526">
        <f>(AA28/O28)</f>
        <v>1.0975609756097562</v>
      </c>
      <c r="AC28" s="484"/>
      <c r="AD28" s="484"/>
    </row>
    <row r="29" spans="1:30" s="483" customFormat="1" ht="18.75" x14ac:dyDescent="0.3">
      <c r="A29" s="489"/>
      <c r="B29" s="555" t="s">
        <v>56</v>
      </c>
      <c r="C29" s="563" t="s">
        <v>55</v>
      </c>
      <c r="D29" s="561">
        <v>1299.0999999999999</v>
      </c>
      <c r="E29" s="561"/>
      <c r="F29" s="561">
        <v>1750</v>
      </c>
      <c r="G29" s="548">
        <f>SUM(D29:F29)</f>
        <v>3049.1</v>
      </c>
      <c r="H29" s="560"/>
      <c r="I29" s="551">
        <f>G29+H29</f>
        <v>3049.1</v>
      </c>
      <c r="J29" s="562">
        <v>662.1</v>
      </c>
      <c r="K29" s="561"/>
      <c r="L29" s="561">
        <v>1900</v>
      </c>
      <c r="M29" s="548">
        <f>SUM(J29:L29)</f>
        <v>2562.1</v>
      </c>
      <c r="N29" s="560"/>
      <c r="O29" s="551">
        <f>M29+N29</f>
        <v>2562.1</v>
      </c>
      <c r="P29" s="562">
        <v>652</v>
      </c>
      <c r="Q29" s="561"/>
      <c r="R29" s="561">
        <v>1900</v>
      </c>
      <c r="S29" s="548">
        <f>SUM(P29:R29)</f>
        <v>2552</v>
      </c>
      <c r="T29" s="560"/>
      <c r="U29" s="551">
        <f>S29+T29</f>
        <v>2552</v>
      </c>
      <c r="V29" s="562">
        <v>898.4</v>
      </c>
      <c r="W29" s="561"/>
      <c r="X29" s="561">
        <v>1900</v>
      </c>
      <c r="Y29" s="548">
        <f>SUM(V29:X29)</f>
        <v>2798.4</v>
      </c>
      <c r="Z29" s="560"/>
      <c r="AA29" s="551">
        <f>Y29+Z29</f>
        <v>2798.4</v>
      </c>
      <c r="AB29" s="526">
        <f>(AA29/O29)</f>
        <v>1.092229030873112</v>
      </c>
      <c r="AC29" s="484"/>
      <c r="AD29" s="484"/>
    </row>
    <row r="30" spans="1:30" s="483" customFormat="1" ht="18.75" x14ac:dyDescent="0.3">
      <c r="A30" s="489"/>
      <c r="B30" s="555" t="s">
        <v>54</v>
      </c>
      <c r="C30" s="554" t="s">
        <v>53</v>
      </c>
      <c r="D30" s="552">
        <v>1800</v>
      </c>
      <c r="E30" s="552"/>
      <c r="F30" s="552">
        <v>220</v>
      </c>
      <c r="G30" s="548">
        <f>SUM(D30:F30)</f>
        <v>2020</v>
      </c>
      <c r="H30" s="548"/>
      <c r="I30" s="551">
        <f>G30+H30</f>
        <v>2020</v>
      </c>
      <c r="J30" s="553">
        <v>2200</v>
      </c>
      <c r="K30" s="552"/>
      <c r="L30" s="552">
        <v>0</v>
      </c>
      <c r="M30" s="548">
        <f>SUM(J30:L30)</f>
        <v>2200</v>
      </c>
      <c r="N30" s="548"/>
      <c r="O30" s="551">
        <f>M30+N30</f>
        <v>2200</v>
      </c>
      <c r="P30" s="553">
        <v>2200</v>
      </c>
      <c r="Q30" s="552"/>
      <c r="R30" s="552"/>
      <c r="S30" s="548">
        <f>SUM(P30:R30)</f>
        <v>2200</v>
      </c>
      <c r="T30" s="548"/>
      <c r="U30" s="551">
        <f>S30+T30</f>
        <v>2200</v>
      </c>
      <c r="V30" s="553">
        <v>2400</v>
      </c>
      <c r="W30" s="552"/>
      <c r="X30" s="552">
        <v>200</v>
      </c>
      <c r="Y30" s="548">
        <f>SUM(V30:X30)</f>
        <v>2600</v>
      </c>
      <c r="Z30" s="548"/>
      <c r="AA30" s="551">
        <f>Y30+Z30</f>
        <v>2600</v>
      </c>
      <c r="AB30" s="526">
        <f>(AA30/O30)</f>
        <v>1.1818181818181819</v>
      </c>
      <c r="AC30" s="484"/>
      <c r="AD30" s="484"/>
    </row>
    <row r="31" spans="1:30" s="483" customFormat="1" ht="18.75" x14ac:dyDescent="0.3">
      <c r="A31" s="489"/>
      <c r="B31" s="555" t="s">
        <v>51</v>
      </c>
      <c r="C31" s="554" t="s">
        <v>50</v>
      </c>
      <c r="D31" s="552">
        <v>400</v>
      </c>
      <c r="E31" s="552"/>
      <c r="F31" s="552">
        <v>1360</v>
      </c>
      <c r="G31" s="548">
        <f>SUM(D31:F31)</f>
        <v>1760</v>
      </c>
      <c r="H31" s="548"/>
      <c r="I31" s="551">
        <f>G31+H31</f>
        <v>1760</v>
      </c>
      <c r="J31" s="553">
        <v>335</v>
      </c>
      <c r="K31" s="552"/>
      <c r="L31" s="552">
        <v>1600</v>
      </c>
      <c r="M31" s="548">
        <f>SUM(J31:L31)</f>
        <v>1935</v>
      </c>
      <c r="N31" s="548"/>
      <c r="O31" s="551">
        <f>M31+N31</f>
        <v>1935</v>
      </c>
      <c r="P31" s="553">
        <v>335</v>
      </c>
      <c r="Q31" s="552"/>
      <c r="R31" s="552">
        <v>1600</v>
      </c>
      <c r="S31" s="548">
        <f>SUM(P31:R31)</f>
        <v>1935</v>
      </c>
      <c r="T31" s="548"/>
      <c r="U31" s="551">
        <f>S31+T31</f>
        <v>1935</v>
      </c>
      <c r="V31" s="553">
        <v>600</v>
      </c>
      <c r="W31" s="552"/>
      <c r="X31" s="552">
        <v>1160</v>
      </c>
      <c r="Y31" s="548">
        <f>SUM(V31:X31)</f>
        <v>1760</v>
      </c>
      <c r="Z31" s="548"/>
      <c r="AA31" s="551">
        <f>Y31+Z31</f>
        <v>1760</v>
      </c>
      <c r="AB31" s="526">
        <f>(AA31/O31)</f>
        <v>0.90956072351421191</v>
      </c>
      <c r="AC31" s="484"/>
      <c r="AD31" s="484"/>
    </row>
    <row r="32" spans="1:30" s="483" customFormat="1" ht="18.75" x14ac:dyDescent="0.3">
      <c r="A32" s="489"/>
      <c r="B32" s="555" t="s">
        <v>49</v>
      </c>
      <c r="C32" s="554" t="s">
        <v>48</v>
      </c>
      <c r="D32" s="557">
        <v>229</v>
      </c>
      <c r="E32" s="552">
        <v>28900</v>
      </c>
      <c r="F32" s="552"/>
      <c r="G32" s="548">
        <f>SUM(D32:F32)</f>
        <v>29129</v>
      </c>
      <c r="H32" s="548"/>
      <c r="I32" s="551">
        <f>G32+H32</f>
        <v>29129</v>
      </c>
      <c r="J32" s="556">
        <v>329</v>
      </c>
      <c r="K32" s="552">
        <v>32445</v>
      </c>
      <c r="L32" s="552"/>
      <c r="M32" s="548">
        <f>SUM(J32:L32)</f>
        <v>32774</v>
      </c>
      <c r="N32" s="548"/>
      <c r="O32" s="551">
        <f>M32+N32</f>
        <v>32774</v>
      </c>
      <c r="P32" s="556">
        <v>329</v>
      </c>
      <c r="Q32" s="552">
        <v>32445</v>
      </c>
      <c r="R32" s="552"/>
      <c r="S32" s="548">
        <f>SUM(P32:R32)</f>
        <v>32774</v>
      </c>
      <c r="T32" s="548"/>
      <c r="U32" s="551">
        <f>S32+T32</f>
        <v>32774</v>
      </c>
      <c r="V32" s="556">
        <v>194.5</v>
      </c>
      <c r="W32" s="552">
        <v>32946</v>
      </c>
      <c r="X32" s="552"/>
      <c r="Y32" s="548">
        <f>SUM(V32:X32)</f>
        <v>33140.5</v>
      </c>
      <c r="Z32" s="548"/>
      <c r="AA32" s="551">
        <f>Y32+Z32</f>
        <v>33140.5</v>
      </c>
      <c r="AB32" s="526">
        <f>(AA32/O32)</f>
        <v>1.0111826447793983</v>
      </c>
      <c r="AC32" s="484"/>
      <c r="AD32" s="484"/>
    </row>
    <row r="33" spans="1:30" s="483" customFormat="1" ht="18.75" x14ac:dyDescent="0.3">
      <c r="A33" s="489"/>
      <c r="B33" s="555" t="s">
        <v>47</v>
      </c>
      <c r="C33" s="559" t="s">
        <v>46</v>
      </c>
      <c r="D33" s="557" t="s">
        <v>52</v>
      </c>
      <c r="E33" s="552"/>
      <c r="F33" s="552"/>
      <c r="G33" s="548">
        <f>SUM(D33:F33)</f>
        <v>0</v>
      </c>
      <c r="H33" s="548"/>
      <c r="I33" s="551">
        <f>G33+H33</f>
        <v>0</v>
      </c>
      <c r="J33" s="556"/>
      <c r="K33" s="552"/>
      <c r="L33" s="552"/>
      <c r="M33" s="548">
        <f>SUM(J33:L33)</f>
        <v>0</v>
      </c>
      <c r="N33" s="548"/>
      <c r="O33" s="551">
        <f>M33+N33</f>
        <v>0</v>
      </c>
      <c r="P33" s="556"/>
      <c r="Q33" s="552"/>
      <c r="R33" s="552"/>
      <c r="S33" s="548">
        <f>SUM(P33:R33)</f>
        <v>0</v>
      </c>
      <c r="T33" s="548"/>
      <c r="U33" s="551">
        <f>S33+T33</f>
        <v>0</v>
      </c>
      <c r="V33" s="556"/>
      <c r="W33" s="552"/>
      <c r="X33" s="552"/>
      <c r="Y33" s="548">
        <f>SUM(V33:X33)</f>
        <v>0</v>
      </c>
      <c r="Z33" s="548"/>
      <c r="AA33" s="551">
        <f>Y33+Z33</f>
        <v>0</v>
      </c>
      <c r="AB33" s="526" t="e">
        <f>(AA33/O33)</f>
        <v>#DIV/0!</v>
      </c>
      <c r="AC33" s="484"/>
      <c r="AD33" s="484"/>
    </row>
    <row r="34" spans="1:30" s="483" customFormat="1" ht="18.75" x14ac:dyDescent="0.3">
      <c r="A34" s="489"/>
      <c r="B34" s="555" t="s">
        <v>45</v>
      </c>
      <c r="C34" s="558" t="s">
        <v>44</v>
      </c>
      <c r="D34" s="557" t="s">
        <v>52</v>
      </c>
      <c r="E34" s="552"/>
      <c r="F34" s="552"/>
      <c r="G34" s="548">
        <f>SUM(D34:F34)</f>
        <v>0</v>
      </c>
      <c r="H34" s="548"/>
      <c r="I34" s="551">
        <f>G34+H34</f>
        <v>0</v>
      </c>
      <c r="J34" s="556"/>
      <c r="K34" s="552"/>
      <c r="L34" s="552"/>
      <c r="M34" s="548">
        <f>SUM(J34:L34)</f>
        <v>0</v>
      </c>
      <c r="N34" s="548"/>
      <c r="O34" s="551">
        <f>M34+N34</f>
        <v>0</v>
      </c>
      <c r="P34" s="556" t="s">
        <v>52</v>
      </c>
      <c r="Q34" s="552"/>
      <c r="R34" s="552"/>
      <c r="S34" s="548">
        <f>SUM(P34:R34)</f>
        <v>0</v>
      </c>
      <c r="T34" s="548"/>
      <c r="U34" s="551">
        <f>S34+T34</f>
        <v>0</v>
      </c>
      <c r="V34" s="556" t="s">
        <v>52</v>
      </c>
      <c r="W34" s="552"/>
      <c r="X34" s="552"/>
      <c r="Y34" s="548">
        <f>SUM(V34:X34)</f>
        <v>0</v>
      </c>
      <c r="Z34" s="548"/>
      <c r="AA34" s="551">
        <f>Y34+Z34</f>
        <v>0</v>
      </c>
      <c r="AB34" s="526" t="e">
        <f>(AA34/O34)</f>
        <v>#DIV/0!</v>
      </c>
      <c r="AC34" s="484"/>
      <c r="AD34" s="484"/>
    </row>
    <row r="35" spans="1:30" s="483" customFormat="1" ht="18.75" x14ac:dyDescent="0.3">
      <c r="A35" s="489"/>
      <c r="B35" s="555" t="s">
        <v>43</v>
      </c>
      <c r="C35" s="554" t="s">
        <v>42</v>
      </c>
      <c r="D35" s="557">
        <v>78.2</v>
      </c>
      <c r="E35" s="552">
        <v>11854</v>
      </c>
      <c r="F35" s="552"/>
      <c r="G35" s="548">
        <f>SUM(D35:F35)</f>
        <v>11932.2</v>
      </c>
      <c r="H35" s="548"/>
      <c r="I35" s="551">
        <f>G35+H35</f>
        <v>11932.2</v>
      </c>
      <c r="J35" s="556"/>
      <c r="K35" s="552">
        <v>11955</v>
      </c>
      <c r="L35" s="552"/>
      <c r="M35" s="548">
        <f>SUM(J35:L35)</f>
        <v>11955</v>
      </c>
      <c r="N35" s="548"/>
      <c r="O35" s="551">
        <f>M35+N35</f>
        <v>11955</v>
      </c>
      <c r="P35" s="556"/>
      <c r="Q35" s="552"/>
      <c r="R35" s="552"/>
      <c r="S35" s="548">
        <f>SUM(P35:R35)</f>
        <v>0</v>
      </c>
      <c r="T35" s="548"/>
      <c r="U35" s="551">
        <f>S35+T35</f>
        <v>0</v>
      </c>
      <c r="V35" s="556"/>
      <c r="W35" s="552"/>
      <c r="X35" s="552"/>
      <c r="Y35" s="548">
        <f>SUM(V35:X35)</f>
        <v>0</v>
      </c>
      <c r="Z35" s="548"/>
      <c r="AA35" s="551">
        <f>Y35+Z35</f>
        <v>0</v>
      </c>
      <c r="AB35" s="526">
        <f>(AA35/O35)</f>
        <v>0</v>
      </c>
      <c r="AC35" s="484"/>
      <c r="AD35" s="484"/>
    </row>
    <row r="36" spans="1:30" s="483" customFormat="1" ht="18.75" x14ac:dyDescent="0.3">
      <c r="A36" s="489"/>
      <c r="B36" s="555" t="s">
        <v>41</v>
      </c>
      <c r="C36" s="554" t="s">
        <v>40</v>
      </c>
      <c r="D36" s="552" t="s">
        <v>52</v>
      </c>
      <c r="E36" s="552"/>
      <c r="F36" s="552"/>
      <c r="G36" s="548">
        <f>SUM(D36:F36)</f>
        <v>0</v>
      </c>
      <c r="H36" s="548"/>
      <c r="I36" s="551">
        <f>G36+H36</f>
        <v>0</v>
      </c>
      <c r="J36" s="553"/>
      <c r="K36" s="552"/>
      <c r="L36" s="552"/>
      <c r="M36" s="548">
        <f>SUM(J36:L36)</f>
        <v>0</v>
      </c>
      <c r="N36" s="548"/>
      <c r="O36" s="551">
        <f>M36+N36</f>
        <v>0</v>
      </c>
      <c r="P36" s="553"/>
      <c r="Q36" s="552">
        <v>11677.3</v>
      </c>
      <c r="R36" s="552"/>
      <c r="S36" s="548">
        <f>SUM(P36:R36)</f>
        <v>11677.3</v>
      </c>
      <c r="T36" s="548"/>
      <c r="U36" s="551">
        <f>S36+T36</f>
        <v>11677.3</v>
      </c>
      <c r="V36" s="553">
        <v>60.8</v>
      </c>
      <c r="W36" s="552">
        <v>11677</v>
      </c>
      <c r="X36" s="552"/>
      <c r="Y36" s="548">
        <f>SUM(V36:X36)</f>
        <v>11737.8</v>
      </c>
      <c r="Z36" s="548"/>
      <c r="AA36" s="551">
        <f>Y36+Z36</f>
        <v>11737.8</v>
      </c>
      <c r="AB36" s="526" t="e">
        <f>(AA36/O36)</f>
        <v>#DIV/0!</v>
      </c>
      <c r="AC36" s="484"/>
      <c r="AD36" s="484"/>
    </row>
    <row r="37" spans="1:30" s="483" customFormat="1" ht="18.75" x14ac:dyDescent="0.3">
      <c r="A37" s="489"/>
      <c r="B37" s="555" t="s">
        <v>39</v>
      </c>
      <c r="C37" s="554" t="s">
        <v>38</v>
      </c>
      <c r="D37" s="552">
        <v>578.70000000000005</v>
      </c>
      <c r="E37" s="552"/>
      <c r="F37" s="552"/>
      <c r="G37" s="548">
        <f>SUM(D37:F37)</f>
        <v>578.70000000000005</v>
      </c>
      <c r="H37" s="548"/>
      <c r="I37" s="551">
        <f>G37+H37</f>
        <v>578.70000000000005</v>
      </c>
      <c r="J37" s="553">
        <v>671</v>
      </c>
      <c r="K37" s="552"/>
      <c r="L37" s="552">
        <v>957</v>
      </c>
      <c r="M37" s="548">
        <f>SUM(J37:L37)</f>
        <v>1628</v>
      </c>
      <c r="N37" s="548"/>
      <c r="O37" s="551">
        <f>M37+N37</f>
        <v>1628</v>
      </c>
      <c r="P37" s="553">
        <v>671</v>
      </c>
      <c r="Q37" s="552"/>
      <c r="R37" s="552">
        <v>957</v>
      </c>
      <c r="S37" s="548">
        <f>SUM(P37:R37)</f>
        <v>1628</v>
      </c>
      <c r="T37" s="548"/>
      <c r="U37" s="551">
        <f>S37+T37</f>
        <v>1628</v>
      </c>
      <c r="V37" s="553">
        <v>671</v>
      </c>
      <c r="W37" s="552"/>
      <c r="X37" s="552">
        <v>957</v>
      </c>
      <c r="Y37" s="548">
        <f>SUM(V37:X37)</f>
        <v>1628</v>
      </c>
      <c r="Z37" s="548"/>
      <c r="AA37" s="551">
        <f>Y37+Z37</f>
        <v>1628</v>
      </c>
      <c r="AB37" s="526">
        <f>(AA37/O37)</f>
        <v>1</v>
      </c>
      <c r="AC37" s="484"/>
      <c r="AD37" s="484"/>
    </row>
    <row r="38" spans="1:30" s="483" customFormat="1" ht="19.5" thickBot="1" x14ac:dyDescent="0.35">
      <c r="A38" s="489"/>
      <c r="B38" s="550" t="s">
        <v>37</v>
      </c>
      <c r="C38" s="549" t="s">
        <v>36</v>
      </c>
      <c r="D38" s="546">
        <v>72</v>
      </c>
      <c r="E38" s="546">
        <v>1200</v>
      </c>
      <c r="F38" s="546">
        <v>220</v>
      </c>
      <c r="G38" s="548">
        <f>SUM(D38:F38)</f>
        <v>1492</v>
      </c>
      <c r="H38" s="545"/>
      <c r="I38" s="544">
        <f>G38+H38</f>
        <v>1492</v>
      </c>
      <c r="J38" s="547">
        <v>712.7</v>
      </c>
      <c r="K38" s="546"/>
      <c r="L38" s="546">
        <v>400</v>
      </c>
      <c r="M38" s="545">
        <f>SUM(J38:L38)</f>
        <v>1112.7</v>
      </c>
      <c r="N38" s="545"/>
      <c r="O38" s="544">
        <f>M38+N38</f>
        <v>1112.7</v>
      </c>
      <c r="P38" s="547">
        <v>651.9</v>
      </c>
      <c r="Q38" s="546">
        <v>1379.7</v>
      </c>
      <c r="R38" s="546">
        <v>400</v>
      </c>
      <c r="S38" s="545">
        <f>SUM(P38:R38)</f>
        <v>2431.6</v>
      </c>
      <c r="T38" s="545"/>
      <c r="U38" s="544">
        <f>S38+T38</f>
        <v>2431.6</v>
      </c>
      <c r="V38" s="547">
        <v>434</v>
      </c>
      <c r="W38" s="546">
        <v>1379</v>
      </c>
      <c r="X38" s="546">
        <v>140</v>
      </c>
      <c r="Y38" s="545">
        <f>SUM(V38:X38)</f>
        <v>1953</v>
      </c>
      <c r="Z38" s="545"/>
      <c r="AA38" s="544">
        <f>Y38+Z38</f>
        <v>1953</v>
      </c>
      <c r="AB38" s="543">
        <f>(AA38/O38)</f>
        <v>1.7551900781881908</v>
      </c>
      <c r="AC38" s="484"/>
      <c r="AD38" s="484"/>
    </row>
    <row r="39" spans="1:30" s="483" customFormat="1" ht="19.5" thickBot="1" x14ac:dyDescent="0.35">
      <c r="A39" s="489"/>
      <c r="B39" s="542" t="s">
        <v>35</v>
      </c>
      <c r="C39" s="541" t="s">
        <v>34</v>
      </c>
      <c r="D39" s="540">
        <f>SUM(D35:D38)+SUM(D28:D32)</f>
        <v>4847</v>
      </c>
      <c r="E39" s="540">
        <f>SUM(E35:E38)+SUM(E28:E32)</f>
        <v>41954</v>
      </c>
      <c r="F39" s="540">
        <f>SUM(F35:F38)+SUM(F28:F32)</f>
        <v>3550</v>
      </c>
      <c r="G39" s="539">
        <f>SUM(D39:F39)</f>
        <v>50351</v>
      </c>
      <c r="H39" s="538">
        <f>SUM(H28:H32)+SUM(H35:H38)</f>
        <v>0</v>
      </c>
      <c r="I39" s="537">
        <f>SUM(I35:I38)+SUM(I28:I32)</f>
        <v>50351</v>
      </c>
      <c r="J39" s="540">
        <f>SUM(J35:J38)+SUM(J28:J32)</f>
        <v>5219.8</v>
      </c>
      <c r="K39" s="540">
        <f>SUM(K35:K38)+SUM(K28:K32)</f>
        <v>44400</v>
      </c>
      <c r="L39" s="540">
        <f>SUM(L35:L38)+SUM(L28:L32)</f>
        <v>4957</v>
      </c>
      <c r="M39" s="539">
        <f>SUM(J39:L39)</f>
        <v>54576.800000000003</v>
      </c>
      <c r="N39" s="538">
        <f>SUM(N28:N32)+SUM(N35:N38)</f>
        <v>0</v>
      </c>
      <c r="O39" s="537">
        <f>SUM(O35:O38)+SUM(O28:O32)</f>
        <v>54576.800000000003</v>
      </c>
      <c r="P39" s="540">
        <f>SUM(P35:P38)+SUM(P28:P32)</f>
        <v>5123.8999999999996</v>
      </c>
      <c r="Q39" s="540">
        <f>SUM(Q35:Q38)+SUM(Q28:Q32)</f>
        <v>45502</v>
      </c>
      <c r="R39" s="540">
        <f>SUM(R35:R38)+SUM(R28:R32)</f>
        <v>4957</v>
      </c>
      <c r="S39" s="539">
        <f>SUM(P39:R39)</f>
        <v>55582.9</v>
      </c>
      <c r="T39" s="538">
        <f>SUM(T28:T32)+SUM(T35:T38)</f>
        <v>0</v>
      </c>
      <c r="U39" s="537">
        <f>SUM(U35:U38)+SUM(U28:U32)</f>
        <v>55582.9</v>
      </c>
      <c r="V39" s="540">
        <f>SUM(V35:V38)+SUM(V28:V32)</f>
        <v>5608.7</v>
      </c>
      <c r="W39" s="540">
        <f>SUM(W35:W38)+SUM(W28:W32)</f>
        <v>46002</v>
      </c>
      <c r="X39" s="540">
        <f>SUM(X35:X38)+SUM(X28:X32)</f>
        <v>4457</v>
      </c>
      <c r="Y39" s="539">
        <f>SUM(V39:X39)</f>
        <v>56067.7</v>
      </c>
      <c r="Z39" s="538">
        <f>SUM(Z28:Z32)+SUM(Z35:Z38)</f>
        <v>0</v>
      </c>
      <c r="AA39" s="537">
        <f>SUM(AA35:AA38)+SUM(AA28:AA32)</f>
        <v>56067.7</v>
      </c>
      <c r="AB39" s="536">
        <f>(AA39/O39)</f>
        <v>1.027317468228258</v>
      </c>
      <c r="AC39" s="484"/>
      <c r="AD39" s="484"/>
    </row>
    <row r="40" spans="1:30" s="483" customFormat="1" ht="19.5" thickBot="1" x14ac:dyDescent="0.35">
      <c r="A40" s="489"/>
      <c r="B40" s="246" t="s">
        <v>33</v>
      </c>
      <c r="C40" s="245" t="s">
        <v>32</v>
      </c>
      <c r="D40" s="244">
        <f>D24-D39</f>
        <v>0</v>
      </c>
      <c r="E40" s="244">
        <f>E24-E39</f>
        <v>0</v>
      </c>
      <c r="F40" s="244">
        <f>F24-F39</f>
        <v>0</v>
      </c>
      <c r="G40" s="243">
        <f>G24-G39</f>
        <v>0</v>
      </c>
      <c r="H40" s="243">
        <f>H24-H39</f>
        <v>0</v>
      </c>
      <c r="I40" s="242">
        <f>I24-I39</f>
        <v>0</v>
      </c>
      <c r="J40" s="244">
        <f>J24-J39</f>
        <v>0</v>
      </c>
      <c r="K40" s="244">
        <f>K24-K39</f>
        <v>0</v>
      </c>
      <c r="L40" s="244">
        <f>L24-L39</f>
        <v>0</v>
      </c>
      <c r="M40" s="243">
        <f>M24-M39</f>
        <v>0</v>
      </c>
      <c r="N40" s="243">
        <f>N24-N39</f>
        <v>0</v>
      </c>
      <c r="O40" s="242">
        <f>O24-O39</f>
        <v>0</v>
      </c>
      <c r="P40" s="244">
        <f>P24-P39</f>
        <v>0</v>
      </c>
      <c r="Q40" s="244">
        <f>Q24-Q39</f>
        <v>0</v>
      </c>
      <c r="R40" s="244">
        <f>R24-R39</f>
        <v>0</v>
      </c>
      <c r="S40" s="243">
        <f>S24-S39</f>
        <v>0</v>
      </c>
      <c r="T40" s="243">
        <f>T24-T39</f>
        <v>0</v>
      </c>
      <c r="U40" s="242">
        <f>U24-U39</f>
        <v>0</v>
      </c>
      <c r="V40" s="244">
        <f>V24-V39</f>
        <v>0</v>
      </c>
      <c r="W40" s="244">
        <f>W24-W39</f>
        <v>0</v>
      </c>
      <c r="X40" s="244">
        <f>X24-X39</f>
        <v>0</v>
      </c>
      <c r="Y40" s="243">
        <f>Y24-Y39</f>
        <v>0</v>
      </c>
      <c r="Z40" s="243">
        <f>Z24-Z39</f>
        <v>0</v>
      </c>
      <c r="AA40" s="242">
        <f>AA24-AA39</f>
        <v>0</v>
      </c>
      <c r="AB40" s="535" t="e">
        <f>(AA40/O40)</f>
        <v>#DIV/0!</v>
      </c>
      <c r="AC40" s="484"/>
      <c r="AD40" s="484"/>
    </row>
    <row r="41" spans="1:30" s="483" customFormat="1" ht="19.5" thickBot="1" x14ac:dyDescent="0.35">
      <c r="A41" s="489"/>
      <c r="B41" s="534" t="s">
        <v>31</v>
      </c>
      <c r="C41" s="533" t="s">
        <v>30</v>
      </c>
      <c r="D41" s="531"/>
      <c r="E41" s="530"/>
      <c r="F41" s="530"/>
      <c r="G41" s="529"/>
      <c r="H41" s="532"/>
      <c r="I41" s="527">
        <f>I40-D16</f>
        <v>-4480.7</v>
      </c>
      <c r="J41" s="531"/>
      <c r="K41" s="530"/>
      <c r="L41" s="530"/>
      <c r="M41" s="529"/>
      <c r="N41" s="528"/>
      <c r="O41" s="527">
        <f>O40-J16</f>
        <v>-4793.7</v>
      </c>
      <c r="P41" s="531"/>
      <c r="Q41" s="530"/>
      <c r="R41" s="530"/>
      <c r="S41" s="529"/>
      <c r="T41" s="528"/>
      <c r="U41" s="527">
        <f>U40-P16</f>
        <v>-4697.8</v>
      </c>
      <c r="V41" s="531"/>
      <c r="W41" s="530"/>
      <c r="X41" s="530"/>
      <c r="Y41" s="529"/>
      <c r="Z41" s="528"/>
      <c r="AA41" s="527">
        <f>AA40-V16</f>
        <v>-5280</v>
      </c>
      <c r="AB41" s="526">
        <f>(AA41/O41)</f>
        <v>1.1014456474122285</v>
      </c>
      <c r="AC41" s="484"/>
      <c r="AD41" s="484"/>
    </row>
    <row r="42" spans="1:30" s="486" customFormat="1" ht="8.25" customHeight="1" thickBot="1" x14ac:dyDescent="0.35">
      <c r="A42" s="517"/>
      <c r="B42" s="516"/>
      <c r="C42" s="503"/>
      <c r="D42" s="525"/>
      <c r="E42" s="498"/>
      <c r="F42" s="498"/>
      <c r="G42" s="517"/>
      <c r="H42" s="498"/>
      <c r="I42" s="498"/>
      <c r="J42" s="525"/>
      <c r="K42" s="498"/>
      <c r="L42" s="498"/>
      <c r="M42" s="517"/>
      <c r="N42" s="498"/>
      <c r="O42" s="498"/>
      <c r="P42" s="498"/>
      <c r="Q42" s="498"/>
      <c r="R42" s="498"/>
      <c r="S42" s="498"/>
      <c r="T42" s="498"/>
      <c r="U42" s="498"/>
      <c r="V42" s="511"/>
      <c r="W42" s="511"/>
      <c r="X42" s="511"/>
      <c r="Y42" s="511"/>
      <c r="Z42" s="511"/>
      <c r="AA42" s="511"/>
      <c r="AB42" s="511"/>
      <c r="AC42" s="511"/>
      <c r="AD42" s="511"/>
    </row>
    <row r="43" spans="1:30" s="486" customFormat="1" ht="15.75" customHeight="1" thickBot="1" x14ac:dyDescent="0.35">
      <c r="A43" s="517"/>
      <c r="B43" s="516"/>
      <c r="C43" s="515" t="s">
        <v>29</v>
      </c>
      <c r="D43" s="524" t="s">
        <v>28</v>
      </c>
      <c r="E43" s="523" t="s">
        <v>27</v>
      </c>
      <c r="F43" s="522" t="s">
        <v>26</v>
      </c>
      <c r="G43" s="498"/>
      <c r="H43" s="498"/>
      <c r="I43" s="497"/>
      <c r="J43" s="524" t="s">
        <v>28</v>
      </c>
      <c r="K43" s="523" t="s">
        <v>27</v>
      </c>
      <c r="L43" s="522" t="s">
        <v>26</v>
      </c>
      <c r="M43" s="498"/>
      <c r="N43" s="498"/>
      <c r="O43" s="498"/>
      <c r="P43" s="524" t="s">
        <v>28</v>
      </c>
      <c r="Q43" s="523" t="s">
        <v>27</v>
      </c>
      <c r="R43" s="522" t="s">
        <v>26</v>
      </c>
      <c r="S43" s="511"/>
      <c r="T43" s="511"/>
      <c r="U43" s="511"/>
      <c r="V43" s="524" t="s">
        <v>28</v>
      </c>
      <c r="W43" s="523" t="s">
        <v>27</v>
      </c>
      <c r="X43" s="522" t="s">
        <v>26</v>
      </c>
      <c r="Y43" s="511"/>
      <c r="Z43" s="511"/>
      <c r="AA43" s="511"/>
      <c r="AB43" s="511"/>
      <c r="AC43" s="511"/>
      <c r="AD43" s="511"/>
    </row>
    <row r="44" spans="1:30" s="483" customFormat="1" ht="19.5" thickBot="1" x14ac:dyDescent="0.35">
      <c r="A44" s="489"/>
      <c r="B44" s="516"/>
      <c r="C44" s="521"/>
      <c r="D44" s="508">
        <v>280.7</v>
      </c>
      <c r="E44" s="520">
        <v>280.7</v>
      </c>
      <c r="F44" s="519">
        <v>0</v>
      </c>
      <c r="G44" s="498"/>
      <c r="H44" s="498"/>
      <c r="I44" s="497"/>
      <c r="J44" s="508">
        <v>277</v>
      </c>
      <c r="K44" s="520">
        <v>277</v>
      </c>
      <c r="L44" s="519">
        <v>0</v>
      </c>
      <c r="M44" s="518"/>
      <c r="N44" s="518"/>
      <c r="O44" s="518"/>
      <c r="P44" s="508">
        <v>277</v>
      </c>
      <c r="Q44" s="520">
        <v>277</v>
      </c>
      <c r="R44" s="519">
        <v>0</v>
      </c>
      <c r="S44" s="484"/>
      <c r="T44" s="484"/>
      <c r="U44" s="484"/>
      <c r="V44" s="508">
        <v>277</v>
      </c>
      <c r="W44" s="520">
        <v>277</v>
      </c>
      <c r="X44" s="519">
        <v>0</v>
      </c>
      <c r="Y44" s="484"/>
      <c r="Z44" s="484"/>
      <c r="AA44" s="484"/>
      <c r="AB44" s="484"/>
      <c r="AC44" s="484"/>
      <c r="AD44" s="484"/>
    </row>
    <row r="45" spans="1:30" s="486" customFormat="1" ht="8.25" customHeight="1" thickBot="1" x14ac:dyDescent="0.35">
      <c r="A45" s="517"/>
      <c r="B45" s="516"/>
      <c r="C45" s="503"/>
      <c r="D45" s="518"/>
      <c r="E45" s="498"/>
      <c r="F45" s="498"/>
      <c r="G45" s="498"/>
      <c r="H45" s="498"/>
      <c r="I45" s="497"/>
      <c r="J45" s="498"/>
      <c r="K45" s="498"/>
      <c r="L45" s="498"/>
      <c r="M45" s="498"/>
      <c r="N45" s="498"/>
      <c r="O45" s="497"/>
      <c r="P45" s="497"/>
      <c r="Q45" s="497"/>
      <c r="R45" s="497"/>
      <c r="S45" s="497"/>
      <c r="T45" s="497"/>
      <c r="U45" s="497"/>
      <c r="V45" s="511"/>
      <c r="W45" s="511"/>
      <c r="X45" s="511"/>
      <c r="Y45" s="511"/>
      <c r="Z45" s="511"/>
      <c r="AA45" s="511"/>
      <c r="AB45" s="511"/>
      <c r="AC45" s="511"/>
      <c r="AD45" s="511"/>
    </row>
    <row r="46" spans="1:30" s="486" customFormat="1" ht="37.5" customHeight="1" thickBot="1" x14ac:dyDescent="0.35">
      <c r="A46" s="517"/>
      <c r="B46" s="516"/>
      <c r="C46" s="515" t="s">
        <v>25</v>
      </c>
      <c r="D46" s="513" t="s">
        <v>24</v>
      </c>
      <c r="E46" s="512" t="s">
        <v>23</v>
      </c>
      <c r="F46" s="498"/>
      <c r="G46" s="498"/>
      <c r="H46" s="498"/>
      <c r="I46" s="497"/>
      <c r="J46" s="513" t="s">
        <v>24</v>
      </c>
      <c r="K46" s="512" t="s">
        <v>23</v>
      </c>
      <c r="L46" s="514"/>
      <c r="M46" s="514"/>
      <c r="N46" s="511"/>
      <c r="O46" s="511"/>
      <c r="P46" s="513" t="s">
        <v>24</v>
      </c>
      <c r="Q46" s="512" t="s">
        <v>23</v>
      </c>
      <c r="R46" s="511"/>
      <c r="S46" s="511"/>
      <c r="T46" s="511"/>
      <c r="U46" s="511"/>
      <c r="V46" s="513" t="s">
        <v>24</v>
      </c>
      <c r="W46" s="512" t="s">
        <v>23</v>
      </c>
      <c r="X46" s="511"/>
      <c r="Y46" s="511"/>
      <c r="Z46" s="511"/>
      <c r="AA46" s="511"/>
      <c r="AB46" s="511"/>
      <c r="AC46" s="511"/>
      <c r="AD46" s="511"/>
    </row>
    <row r="47" spans="1:30" s="483" customFormat="1" ht="19.5" thickBot="1" x14ac:dyDescent="0.35">
      <c r="A47" s="489"/>
      <c r="B47" s="500"/>
      <c r="C47" s="510"/>
      <c r="D47" s="508">
        <v>0</v>
      </c>
      <c r="E47" s="507">
        <v>0</v>
      </c>
      <c r="F47" s="498"/>
      <c r="G47" s="498"/>
      <c r="H47" s="498"/>
      <c r="I47" s="497"/>
      <c r="J47" s="508">
        <v>0</v>
      </c>
      <c r="K47" s="507">
        <v>0</v>
      </c>
      <c r="L47" s="509"/>
      <c r="M47" s="509"/>
      <c r="N47" s="484"/>
      <c r="O47" s="484"/>
      <c r="P47" s="508">
        <v>0</v>
      </c>
      <c r="Q47" s="507">
        <v>0</v>
      </c>
      <c r="R47" s="484"/>
      <c r="S47" s="484"/>
      <c r="T47" s="484"/>
      <c r="U47" s="484"/>
      <c r="V47" s="508">
        <v>0</v>
      </c>
      <c r="W47" s="507">
        <v>0</v>
      </c>
      <c r="X47" s="484"/>
      <c r="Y47" s="484"/>
      <c r="Z47" s="484"/>
      <c r="AA47" s="484"/>
      <c r="AB47" s="484"/>
      <c r="AC47" s="484"/>
      <c r="AD47" s="484"/>
    </row>
    <row r="48" spans="1:30" s="483" customFormat="1" ht="18.75" x14ac:dyDescent="0.3">
      <c r="A48" s="489"/>
      <c r="B48" s="500"/>
      <c r="C48" s="503"/>
      <c r="D48" s="498"/>
      <c r="E48" s="498"/>
      <c r="F48" s="498"/>
      <c r="G48" s="498"/>
      <c r="H48" s="498"/>
      <c r="I48" s="497"/>
      <c r="J48" s="498"/>
      <c r="K48" s="498"/>
      <c r="L48" s="498"/>
      <c r="M48" s="498"/>
      <c r="N48" s="498"/>
      <c r="O48" s="497"/>
      <c r="P48" s="497"/>
      <c r="Q48" s="497"/>
      <c r="R48" s="497"/>
      <c r="S48" s="497"/>
      <c r="T48" s="497"/>
      <c r="U48" s="497"/>
      <c r="V48" s="484"/>
      <c r="W48" s="484"/>
      <c r="X48" s="484"/>
      <c r="Y48" s="484"/>
      <c r="Z48" s="484"/>
      <c r="AA48" s="484"/>
      <c r="AB48" s="484"/>
      <c r="AC48" s="484"/>
      <c r="AD48" s="484"/>
    </row>
    <row r="49" spans="1:30" s="483" customFormat="1" ht="18.75" x14ac:dyDescent="0.3">
      <c r="A49" s="489"/>
      <c r="B49" s="500"/>
      <c r="C49" s="502" t="s">
        <v>22</v>
      </c>
      <c r="D49" s="501" t="s">
        <v>20</v>
      </c>
      <c r="E49" s="501" t="s">
        <v>18</v>
      </c>
      <c r="F49" s="501" t="s">
        <v>17</v>
      </c>
      <c r="G49" s="501" t="s">
        <v>21</v>
      </c>
      <c r="H49" s="498"/>
      <c r="I49" s="484"/>
      <c r="J49" s="501" t="s">
        <v>20</v>
      </c>
      <c r="K49" s="501" t="s">
        <v>18</v>
      </c>
      <c r="L49" s="501" t="s">
        <v>17</v>
      </c>
      <c r="M49" s="501" t="s">
        <v>228</v>
      </c>
      <c r="N49" s="484"/>
      <c r="O49" s="484"/>
      <c r="P49" s="501" t="s">
        <v>20</v>
      </c>
      <c r="Q49" s="501" t="s">
        <v>18</v>
      </c>
      <c r="R49" s="501" t="s">
        <v>17</v>
      </c>
      <c r="S49" s="501" t="s">
        <v>228</v>
      </c>
      <c r="T49" s="484"/>
      <c r="U49" s="484"/>
      <c r="V49" s="501" t="s">
        <v>19</v>
      </c>
      <c r="W49" s="501" t="s">
        <v>18</v>
      </c>
      <c r="X49" s="501" t="s">
        <v>17</v>
      </c>
      <c r="Y49" s="501" t="s">
        <v>227</v>
      </c>
      <c r="Z49" s="484"/>
      <c r="AA49" s="484"/>
      <c r="AB49" s="484"/>
      <c r="AC49" s="484"/>
      <c r="AD49" s="484"/>
    </row>
    <row r="50" spans="1:30" s="483" customFormat="1" ht="18.75" x14ac:dyDescent="0.3">
      <c r="A50" s="489"/>
      <c r="B50" s="500"/>
      <c r="C50" s="499" t="s">
        <v>226</v>
      </c>
      <c r="D50" s="505">
        <v>1775.7</v>
      </c>
      <c r="E50" s="505"/>
      <c r="F50" s="505">
        <v>127.5</v>
      </c>
      <c r="G50" s="504">
        <f>D50+E50-F50</f>
        <v>1648.2</v>
      </c>
      <c r="H50" s="498"/>
      <c r="I50" s="484"/>
      <c r="J50" s="505">
        <v>1648.2</v>
      </c>
      <c r="K50" s="505"/>
      <c r="L50" s="505">
        <v>1648.2</v>
      </c>
      <c r="M50" s="504">
        <f>J50+K50-L50</f>
        <v>0</v>
      </c>
      <c r="N50" s="484"/>
      <c r="O50" s="484"/>
      <c r="P50" s="505">
        <v>1648.2</v>
      </c>
      <c r="Q50" s="505"/>
      <c r="R50" s="505">
        <v>1648.2</v>
      </c>
      <c r="S50" s="504">
        <f>P50+Q50-R50</f>
        <v>0</v>
      </c>
      <c r="T50" s="484"/>
      <c r="U50" s="484"/>
      <c r="V50" s="505">
        <v>1100</v>
      </c>
      <c r="W50" s="505"/>
      <c r="X50" s="505">
        <v>500</v>
      </c>
      <c r="Y50" s="504">
        <f>V50+W50-X50</f>
        <v>600</v>
      </c>
      <c r="Z50" s="484"/>
      <c r="AA50" s="484"/>
      <c r="AB50" s="484"/>
      <c r="AC50" s="484"/>
      <c r="AD50" s="484"/>
    </row>
    <row r="51" spans="1:30" s="483" customFormat="1" ht="18.75" x14ac:dyDescent="0.3">
      <c r="A51" s="489"/>
      <c r="B51" s="500"/>
      <c r="C51" s="499" t="s">
        <v>15</v>
      </c>
      <c r="D51" s="505">
        <v>407.4</v>
      </c>
      <c r="E51" s="505">
        <v>30.8</v>
      </c>
      <c r="F51" s="505"/>
      <c r="G51" s="504">
        <f>D51+E51-F51</f>
        <v>438.2</v>
      </c>
      <c r="H51" s="498"/>
      <c r="I51" s="484"/>
      <c r="J51" s="505">
        <v>438.2</v>
      </c>
      <c r="K51" s="505">
        <v>26.1</v>
      </c>
      <c r="L51" s="505">
        <v>200</v>
      </c>
      <c r="M51" s="504">
        <f>J51+K51-L51</f>
        <v>264.3</v>
      </c>
      <c r="N51" s="484"/>
      <c r="O51" s="484"/>
      <c r="P51" s="505">
        <v>438.2</v>
      </c>
      <c r="Q51" s="505">
        <v>26.1</v>
      </c>
      <c r="R51" s="505">
        <v>200</v>
      </c>
      <c r="S51" s="504">
        <f>P51+Q51-R51</f>
        <v>264.3</v>
      </c>
      <c r="T51" s="484"/>
      <c r="U51" s="484"/>
      <c r="V51" s="505">
        <v>264.3</v>
      </c>
      <c r="W51" s="505">
        <v>0</v>
      </c>
      <c r="X51" s="505">
        <v>0</v>
      </c>
      <c r="Y51" s="504">
        <f>V51+W51-X51</f>
        <v>264.3</v>
      </c>
      <c r="Z51" s="484"/>
      <c r="AA51" s="484"/>
      <c r="AB51" s="484"/>
      <c r="AC51" s="484"/>
      <c r="AD51" s="484"/>
    </row>
    <row r="52" spans="1:30" s="483" customFormat="1" ht="18.75" x14ac:dyDescent="0.3">
      <c r="A52" s="489"/>
      <c r="B52" s="500"/>
      <c r="C52" s="499" t="s">
        <v>14</v>
      </c>
      <c r="D52" s="505">
        <v>1350.8</v>
      </c>
      <c r="E52" s="505">
        <v>615.29999999999995</v>
      </c>
      <c r="F52" s="505">
        <v>378.1</v>
      </c>
      <c r="G52" s="504">
        <f>D52+E52-F52</f>
        <v>1588</v>
      </c>
      <c r="H52" s="498"/>
      <c r="I52" s="484"/>
      <c r="J52" s="505">
        <v>1588</v>
      </c>
      <c r="K52" s="505">
        <v>852.6</v>
      </c>
      <c r="L52" s="505">
        <v>334</v>
      </c>
      <c r="M52" s="504">
        <f>J52+K52-L52</f>
        <v>2106.6</v>
      </c>
      <c r="N52" s="484"/>
      <c r="O52" s="484"/>
      <c r="P52" s="505">
        <v>1588</v>
      </c>
      <c r="Q52" s="505">
        <v>852.6</v>
      </c>
      <c r="R52" s="505">
        <v>334</v>
      </c>
      <c r="S52" s="504">
        <f>P52+Q52-R52</f>
        <v>2106.6</v>
      </c>
      <c r="T52" s="484"/>
      <c r="U52" s="484"/>
      <c r="V52" s="505">
        <v>2106.6</v>
      </c>
      <c r="W52" s="505">
        <v>852.6</v>
      </c>
      <c r="X52" s="505">
        <v>350</v>
      </c>
      <c r="Y52" s="504">
        <f>V52+W52-X52</f>
        <v>2609.1999999999998</v>
      </c>
      <c r="Z52" s="484"/>
      <c r="AA52" s="484"/>
      <c r="AB52" s="484"/>
      <c r="AC52" s="484"/>
      <c r="AD52" s="484"/>
    </row>
    <row r="53" spans="1:30" s="483" customFormat="1" ht="18.75" x14ac:dyDescent="0.3">
      <c r="A53" s="489"/>
      <c r="B53" s="500"/>
      <c r="C53" s="499" t="s">
        <v>13</v>
      </c>
      <c r="D53" s="505">
        <v>104.3</v>
      </c>
      <c r="E53" s="505">
        <v>35</v>
      </c>
      <c r="F53" s="505">
        <v>76.7</v>
      </c>
      <c r="G53" s="504">
        <f>D53+E53-F53</f>
        <v>62.600000000000009</v>
      </c>
      <c r="H53" s="498"/>
      <c r="I53" s="484"/>
      <c r="J53" s="505">
        <v>62.6</v>
      </c>
      <c r="K53" s="505">
        <v>0</v>
      </c>
      <c r="L53" s="505">
        <v>0</v>
      </c>
      <c r="M53" s="504">
        <f>J53+K53-L53</f>
        <v>62.6</v>
      </c>
      <c r="N53" s="484"/>
      <c r="O53" s="484"/>
      <c r="P53" s="505">
        <v>62.6</v>
      </c>
      <c r="Q53" s="505">
        <v>0</v>
      </c>
      <c r="R53" s="505">
        <v>0</v>
      </c>
      <c r="S53" s="504">
        <f>P53+Q53-R53</f>
        <v>62.6</v>
      </c>
      <c r="T53" s="484"/>
      <c r="U53" s="484"/>
      <c r="V53" s="505">
        <v>62.6</v>
      </c>
      <c r="W53" s="505">
        <v>0</v>
      </c>
      <c r="X53" s="505">
        <v>0</v>
      </c>
      <c r="Y53" s="504">
        <f>V53+W53-X53</f>
        <v>62.6</v>
      </c>
      <c r="Z53" s="484"/>
      <c r="AA53" s="484"/>
      <c r="AB53" s="484"/>
      <c r="AC53" s="484"/>
      <c r="AD53" s="484"/>
    </row>
    <row r="54" spans="1:30" s="483" customFormat="1" ht="18.75" x14ac:dyDescent="0.3">
      <c r="A54" s="489"/>
      <c r="B54" s="500"/>
      <c r="C54" s="506" t="s">
        <v>12</v>
      </c>
      <c r="D54" s="505">
        <v>480.1</v>
      </c>
      <c r="E54" s="505">
        <v>610.5</v>
      </c>
      <c r="F54" s="505">
        <v>366.9</v>
      </c>
      <c r="G54" s="504">
        <f>D54+E54-F54</f>
        <v>723.69999999999993</v>
      </c>
      <c r="H54" s="498"/>
      <c r="I54" s="484"/>
      <c r="J54" s="505">
        <v>723.7</v>
      </c>
      <c r="K54" s="505">
        <v>648.9</v>
      </c>
      <c r="L54" s="505">
        <v>450</v>
      </c>
      <c r="M54" s="504">
        <f>J54+K54-L54</f>
        <v>922.59999999999991</v>
      </c>
      <c r="N54" s="484"/>
      <c r="O54" s="484"/>
      <c r="P54" s="505">
        <v>723.7</v>
      </c>
      <c r="Q54" s="505">
        <v>648.9</v>
      </c>
      <c r="R54" s="505">
        <v>450</v>
      </c>
      <c r="S54" s="504">
        <f>P54+Q54-R54</f>
        <v>922.59999999999991</v>
      </c>
      <c r="T54" s="484"/>
      <c r="U54" s="484"/>
      <c r="V54" s="505">
        <v>922.6</v>
      </c>
      <c r="W54" s="505">
        <v>650</v>
      </c>
      <c r="X54" s="505">
        <v>480</v>
      </c>
      <c r="Y54" s="504">
        <f>V54+W54-X54</f>
        <v>1092.5999999999999</v>
      </c>
      <c r="Z54" s="484"/>
      <c r="AA54" s="484"/>
      <c r="AB54" s="484"/>
      <c r="AC54" s="484"/>
      <c r="AD54" s="484"/>
    </row>
    <row r="55" spans="1:30" s="483" customFormat="1" ht="10.5" customHeight="1" x14ac:dyDescent="0.3">
      <c r="A55" s="489"/>
      <c r="B55" s="500"/>
      <c r="C55" s="503"/>
      <c r="D55" s="498"/>
      <c r="E55" s="498"/>
      <c r="F55" s="498"/>
      <c r="G55" s="498"/>
      <c r="H55" s="498"/>
      <c r="I55" s="484"/>
      <c r="J55" s="484"/>
      <c r="K55" s="484"/>
      <c r="L55" s="484"/>
      <c r="M55" s="484"/>
      <c r="N55" s="484"/>
      <c r="O55" s="484"/>
      <c r="P55" s="484"/>
      <c r="Q55" s="484"/>
      <c r="R55" s="484"/>
      <c r="S55" s="484"/>
      <c r="T55" s="484"/>
      <c r="U55" s="484"/>
      <c r="V55" s="484"/>
      <c r="W55" s="484"/>
      <c r="X55" s="484"/>
      <c r="Y55" s="484"/>
      <c r="Z55" s="484"/>
      <c r="AA55" s="484"/>
      <c r="AB55" s="484"/>
      <c r="AC55" s="484"/>
      <c r="AD55" s="484"/>
    </row>
    <row r="56" spans="1:30" s="483" customFormat="1" ht="18.75" x14ac:dyDescent="0.3">
      <c r="A56" s="489"/>
      <c r="B56" s="500"/>
      <c r="C56" s="502" t="s">
        <v>11</v>
      </c>
      <c r="D56" s="501" t="s">
        <v>10</v>
      </c>
      <c r="E56" s="501" t="s">
        <v>9</v>
      </c>
      <c r="F56" s="498"/>
      <c r="G56" s="498"/>
      <c r="H56" s="498"/>
      <c r="I56" s="497"/>
      <c r="J56" s="501" t="s">
        <v>7</v>
      </c>
      <c r="K56" s="498"/>
      <c r="L56" s="498"/>
      <c r="M56" s="498"/>
      <c r="N56" s="498"/>
      <c r="O56" s="497"/>
      <c r="P56" s="501" t="s">
        <v>8</v>
      </c>
      <c r="Q56" s="497"/>
      <c r="R56" s="497"/>
      <c r="S56" s="497"/>
      <c r="T56" s="497"/>
      <c r="U56" s="497"/>
      <c r="V56" s="501" t="s">
        <v>7</v>
      </c>
      <c r="W56" s="484"/>
      <c r="X56" s="484"/>
      <c r="Y56" s="484"/>
      <c r="Z56" s="484"/>
      <c r="AA56" s="484"/>
      <c r="AB56" s="484"/>
      <c r="AC56" s="484"/>
      <c r="AD56" s="484"/>
    </row>
    <row r="57" spans="1:30" s="483" customFormat="1" ht="18.75" x14ac:dyDescent="0.3">
      <c r="A57" s="489"/>
      <c r="B57" s="500"/>
      <c r="C57" s="499"/>
      <c r="D57" s="496"/>
      <c r="E57" s="496"/>
      <c r="F57" s="498"/>
      <c r="G57" s="498"/>
      <c r="H57" s="498"/>
      <c r="I57" s="497"/>
      <c r="J57" s="496"/>
      <c r="K57" s="498"/>
      <c r="L57" s="498"/>
      <c r="M57" s="498"/>
      <c r="N57" s="498"/>
      <c r="O57" s="497"/>
      <c r="P57" s="496"/>
      <c r="Q57" s="497"/>
      <c r="R57" s="497"/>
      <c r="S57" s="497"/>
      <c r="T57" s="497"/>
      <c r="U57" s="497"/>
      <c r="V57" s="496"/>
      <c r="W57" s="484"/>
      <c r="X57" s="484"/>
      <c r="Y57" s="484"/>
      <c r="Z57" s="484"/>
      <c r="AA57" s="484"/>
      <c r="AB57" s="484"/>
      <c r="AC57" s="484"/>
      <c r="AD57" s="484"/>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s="483" customFormat="1" ht="18.75" x14ac:dyDescent="0.3">
      <c r="A59" s="489"/>
      <c r="B59" s="495" t="s">
        <v>6</v>
      </c>
      <c r="C59" s="494"/>
      <c r="D59" s="493"/>
      <c r="E59" s="493"/>
      <c r="F59" s="493"/>
      <c r="G59" s="493"/>
      <c r="H59" s="493"/>
      <c r="I59" s="493"/>
      <c r="J59" s="493"/>
      <c r="K59" s="493"/>
      <c r="L59" s="493"/>
      <c r="M59" s="493"/>
      <c r="N59" s="493"/>
      <c r="O59" s="493"/>
      <c r="P59" s="493"/>
      <c r="Q59" s="493"/>
      <c r="R59" s="493"/>
      <c r="S59" s="493"/>
      <c r="T59" s="493"/>
      <c r="U59" s="493"/>
      <c r="V59" s="492"/>
      <c r="W59" s="492"/>
      <c r="X59" s="492"/>
      <c r="Y59" s="492"/>
      <c r="Z59" s="492"/>
      <c r="AA59" s="492"/>
      <c r="AB59" s="491"/>
      <c r="AC59" s="484"/>
      <c r="AD59" s="484"/>
    </row>
    <row r="60" spans="1:30" s="483" customFormat="1" ht="18.75" x14ac:dyDescent="0.3">
      <c r="A60" s="489"/>
      <c r="B60" s="490" t="s">
        <v>225</v>
      </c>
      <c r="C60" s="486"/>
      <c r="D60" s="486"/>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5"/>
      <c r="AC60" s="484"/>
      <c r="AD60" s="484"/>
    </row>
    <row r="61" spans="1:30" s="483" customFormat="1" ht="18.75" x14ac:dyDescent="0.3">
      <c r="A61" s="489"/>
      <c r="B61" s="488" t="s">
        <v>224</v>
      </c>
      <c r="C61" s="487"/>
      <c r="D61" s="487"/>
      <c r="E61" s="487"/>
      <c r="F61" s="487"/>
      <c r="G61" s="487"/>
      <c r="H61" s="487"/>
      <c r="I61" s="487"/>
      <c r="J61" s="487"/>
      <c r="K61" s="487"/>
      <c r="L61" s="487"/>
      <c r="M61" s="487"/>
      <c r="N61" s="487"/>
      <c r="O61" s="487"/>
      <c r="P61" s="487"/>
      <c r="Q61" s="487"/>
      <c r="R61" s="487"/>
      <c r="S61" s="487"/>
      <c r="T61" s="487"/>
      <c r="U61" s="487"/>
      <c r="V61" s="486"/>
      <c r="W61" s="486"/>
      <c r="X61" s="486"/>
      <c r="Y61" s="486"/>
      <c r="Z61" s="486"/>
      <c r="AA61" s="486"/>
      <c r="AB61" s="485"/>
      <c r="AC61" s="484"/>
      <c r="AD61" s="484"/>
    </row>
    <row r="62" spans="1:30" s="483" customFormat="1" ht="18.75" x14ac:dyDescent="0.3">
      <c r="A62" s="489"/>
      <c r="B62" s="488" t="s">
        <v>223</v>
      </c>
      <c r="C62" s="487"/>
      <c r="D62" s="487"/>
      <c r="E62" s="487"/>
      <c r="F62" s="487"/>
      <c r="G62" s="487"/>
      <c r="H62" s="487"/>
      <c r="I62" s="487"/>
      <c r="J62" s="487"/>
      <c r="K62" s="487"/>
      <c r="L62" s="487"/>
      <c r="M62" s="487"/>
      <c r="N62" s="487"/>
      <c r="O62" s="487"/>
      <c r="P62" s="487"/>
      <c r="Q62" s="487"/>
      <c r="R62" s="487"/>
      <c r="S62" s="487"/>
      <c r="T62" s="487"/>
      <c r="U62" s="487"/>
      <c r="V62" s="486"/>
      <c r="W62" s="486"/>
      <c r="X62" s="486"/>
      <c r="Y62" s="486"/>
      <c r="Z62" s="486"/>
      <c r="AA62" s="486"/>
      <c r="AB62" s="485"/>
      <c r="AC62" s="484"/>
      <c r="AD62" s="484"/>
    </row>
    <row r="63" spans="1:30" s="483" customFormat="1" ht="18.75" x14ac:dyDescent="0.3">
      <c r="A63" s="489"/>
      <c r="B63" s="488" t="s">
        <v>222</v>
      </c>
      <c r="C63" s="487"/>
      <c r="D63" s="487"/>
      <c r="E63" s="487"/>
      <c r="F63" s="487"/>
      <c r="G63" s="487"/>
      <c r="H63" s="487"/>
      <c r="I63" s="487"/>
      <c r="J63" s="487"/>
      <c r="K63" s="487"/>
      <c r="L63" s="487"/>
      <c r="M63" s="487"/>
      <c r="N63" s="487"/>
      <c r="O63" s="487"/>
      <c r="P63" s="487"/>
      <c r="Q63" s="487"/>
      <c r="R63" s="487"/>
      <c r="S63" s="487"/>
      <c r="T63" s="487"/>
      <c r="U63" s="487"/>
      <c r="V63" s="486"/>
      <c r="W63" s="486"/>
      <c r="X63" s="486"/>
      <c r="Y63" s="486"/>
      <c r="Z63" s="486"/>
      <c r="AA63" s="486"/>
      <c r="AB63" s="485"/>
      <c r="AC63" s="484"/>
      <c r="AD63" s="484"/>
    </row>
    <row r="64" spans="1:30" ht="27" customHeight="1" x14ac:dyDescent="0.3">
      <c r="A64" s="180"/>
      <c r="B64" s="482" t="s">
        <v>221</v>
      </c>
      <c r="C64" s="481"/>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ht="18.75" x14ac:dyDescent="0.3">
      <c r="A65" s="189"/>
      <c r="B65" s="480" t="s">
        <v>220</v>
      </c>
      <c r="C65" s="479"/>
      <c r="D65" s="187"/>
      <c r="E65" s="187"/>
      <c r="F65" s="186"/>
      <c r="G65" s="186"/>
      <c r="H65" s="186"/>
      <c r="I65" s="186"/>
      <c r="J65" s="186"/>
      <c r="K65" s="186"/>
      <c r="L65" s="186"/>
      <c r="M65" s="186"/>
      <c r="N65" s="186"/>
      <c r="O65" s="186"/>
      <c r="P65" s="186"/>
      <c r="Q65" s="186"/>
      <c r="R65" s="186"/>
      <c r="S65" s="186"/>
      <c r="T65" s="186"/>
      <c r="U65" s="186"/>
      <c r="V65" s="178"/>
      <c r="W65" s="178"/>
      <c r="X65" s="178"/>
      <c r="Y65" s="178"/>
      <c r="Z65" s="178"/>
      <c r="AA65" s="178"/>
      <c r="AB65" s="178"/>
      <c r="AC65" s="178"/>
      <c r="AD65" s="178"/>
    </row>
    <row r="66" spans="1:30" x14ac:dyDescent="0.25">
      <c r="A66" s="189"/>
      <c r="B66" s="187"/>
      <c r="C66" s="188"/>
      <c r="D66" s="187"/>
      <c r="E66" s="187"/>
      <c r="F66" s="186"/>
      <c r="G66" s="186"/>
      <c r="H66" s="186"/>
      <c r="I66" s="186"/>
      <c r="J66" s="186"/>
      <c r="K66" s="186"/>
      <c r="L66" s="186"/>
      <c r="M66" s="186"/>
      <c r="N66" s="186"/>
      <c r="O66" s="186"/>
      <c r="P66" s="186"/>
      <c r="Q66" s="186"/>
      <c r="R66" s="186"/>
      <c r="S66" s="186"/>
      <c r="T66" s="186"/>
      <c r="U66" s="186"/>
      <c r="V66" s="178"/>
      <c r="W66" s="178"/>
      <c r="X66" s="178"/>
      <c r="Y66" s="178"/>
      <c r="Z66" s="178"/>
      <c r="AA66" s="178"/>
      <c r="AB66" s="178"/>
      <c r="AC66" s="178"/>
      <c r="AD66" s="178"/>
    </row>
    <row r="67" spans="1:30" x14ac:dyDescent="0.25">
      <c r="A67" s="180"/>
      <c r="B67" s="179"/>
      <c r="C67" s="179"/>
      <c r="D67" s="179"/>
      <c r="E67" s="179"/>
      <c r="F67" s="179"/>
      <c r="G67" s="179"/>
      <c r="H67" s="179"/>
      <c r="I67" s="179"/>
      <c r="J67" s="179"/>
      <c r="K67" s="179"/>
      <c r="L67" s="179"/>
      <c r="M67" s="179"/>
      <c r="N67" s="179"/>
      <c r="O67" s="179"/>
      <c r="P67" s="179"/>
      <c r="Q67" s="179"/>
      <c r="R67" s="179"/>
      <c r="S67" s="179"/>
      <c r="T67" s="179"/>
      <c r="U67" s="179"/>
      <c r="V67" s="178"/>
      <c r="W67" s="178"/>
      <c r="X67" s="178"/>
      <c r="Y67" s="178"/>
      <c r="Z67" s="178"/>
      <c r="AA67" s="178"/>
      <c r="AB67" s="178"/>
      <c r="AC67" s="178"/>
      <c r="AD67" s="178"/>
    </row>
    <row r="68" spans="1:30" x14ac:dyDescent="0.25">
      <c r="A68" s="180"/>
      <c r="B68" s="179" t="s">
        <v>5</v>
      </c>
      <c r="C68" s="185">
        <v>44502</v>
      </c>
      <c r="D68" s="179" t="s">
        <v>4</v>
      </c>
      <c r="E68" s="184" t="s">
        <v>219</v>
      </c>
      <c r="F68" s="184"/>
      <c r="G68" s="184"/>
      <c r="H68" s="179"/>
      <c r="I68" s="179" t="s">
        <v>2</v>
      </c>
      <c r="J68" s="183" t="s">
        <v>218</v>
      </c>
      <c r="K68" s="183"/>
      <c r="L68" s="183"/>
      <c r="M68" s="183"/>
      <c r="N68" s="179"/>
      <c r="O68" s="179"/>
      <c r="P68" s="179"/>
      <c r="Q68" s="179"/>
      <c r="R68" s="179"/>
      <c r="S68" s="179"/>
      <c r="T68" s="179"/>
      <c r="U68" s="179"/>
      <c r="V68" s="178"/>
      <c r="W68" s="178"/>
      <c r="X68" s="178"/>
      <c r="Y68" s="178"/>
      <c r="Z68" s="178"/>
      <c r="AA68" s="178"/>
      <c r="AB68" s="178"/>
      <c r="AC68" s="178"/>
      <c r="AD68" s="178"/>
    </row>
    <row r="69" spans="1:30" ht="7.5" customHeight="1" x14ac:dyDescent="0.25">
      <c r="A69" s="180"/>
      <c r="B69" s="179"/>
      <c r="C69" s="179"/>
      <c r="D69" s="179"/>
      <c r="E69" s="179"/>
      <c r="F69" s="179"/>
      <c r="G69" s="179"/>
      <c r="H69" s="179"/>
      <c r="I69" s="179"/>
      <c r="J69" s="179"/>
      <c r="K69" s="179"/>
      <c r="L69" s="179"/>
      <c r="M69" s="179"/>
      <c r="N69" s="179"/>
      <c r="O69" s="179"/>
      <c r="P69" s="179"/>
      <c r="Q69" s="179"/>
      <c r="R69" s="179"/>
      <c r="S69" s="179"/>
      <c r="T69" s="179"/>
      <c r="U69" s="179"/>
      <c r="V69" s="178"/>
      <c r="W69" s="178"/>
      <c r="X69" s="178"/>
      <c r="Y69" s="178"/>
      <c r="Z69" s="178"/>
      <c r="AA69" s="178"/>
      <c r="AB69" s="178"/>
      <c r="AC69" s="178"/>
      <c r="AD69" s="178"/>
    </row>
    <row r="70" spans="1:30" x14ac:dyDescent="0.25">
      <c r="A70" s="180"/>
      <c r="B70" s="179"/>
      <c r="C70" s="179"/>
      <c r="D70" s="179" t="s">
        <v>0</v>
      </c>
      <c r="E70" s="182"/>
      <c r="F70" s="182"/>
      <c r="G70" s="182"/>
      <c r="H70" s="179"/>
      <c r="I70" s="179" t="s">
        <v>0</v>
      </c>
      <c r="J70" s="181"/>
      <c r="K70" s="181"/>
      <c r="L70" s="181"/>
      <c r="M70" s="181"/>
      <c r="N70" s="179"/>
      <c r="O70" s="179"/>
      <c r="P70" s="179"/>
      <c r="Q70" s="179"/>
      <c r="R70" s="179"/>
      <c r="S70" s="179"/>
      <c r="T70" s="179"/>
      <c r="U70" s="179"/>
      <c r="V70" s="178"/>
      <c r="W70" s="178"/>
      <c r="X70" s="178"/>
      <c r="Y70" s="178"/>
      <c r="Z70" s="178"/>
      <c r="AA70" s="178"/>
      <c r="AB70" s="178"/>
      <c r="AC70" s="178"/>
      <c r="AD70" s="178"/>
    </row>
    <row r="71" spans="1:30" x14ac:dyDescent="0.25">
      <c r="A71" s="180"/>
      <c r="B71" s="179"/>
      <c r="C71" s="179"/>
      <c r="D71" s="179"/>
      <c r="E71" s="182"/>
      <c r="F71" s="182"/>
      <c r="G71" s="182"/>
      <c r="H71" s="179"/>
      <c r="I71" s="179"/>
      <c r="J71" s="181"/>
      <c r="K71" s="181"/>
      <c r="L71" s="181"/>
      <c r="M71" s="181"/>
      <c r="N71" s="179"/>
      <c r="O71" s="179"/>
      <c r="P71" s="179"/>
      <c r="Q71" s="179"/>
      <c r="R71" s="179"/>
      <c r="S71" s="179"/>
      <c r="T71" s="179"/>
      <c r="U71" s="179"/>
      <c r="V71" s="178"/>
      <c r="W71" s="178"/>
      <c r="X71" s="178"/>
      <c r="Y71" s="178"/>
      <c r="Z71" s="178"/>
      <c r="AA71" s="178"/>
      <c r="AB71" s="178"/>
      <c r="AC71" s="178"/>
      <c r="AD71" s="178"/>
    </row>
    <row r="72" spans="1:30" x14ac:dyDescent="0.25">
      <c r="A72" s="180"/>
      <c r="B72" s="179"/>
      <c r="C72" s="179"/>
      <c r="D72" s="179"/>
      <c r="E72" s="179"/>
      <c r="F72" s="179"/>
      <c r="G72" s="179"/>
      <c r="H72" s="179"/>
      <c r="I72" s="179"/>
      <c r="J72" s="179"/>
      <c r="K72" s="179"/>
      <c r="L72" s="179"/>
      <c r="M72" s="179"/>
      <c r="N72" s="179"/>
      <c r="O72" s="179"/>
      <c r="P72" s="179"/>
      <c r="Q72" s="179"/>
      <c r="R72" s="179"/>
      <c r="S72" s="179"/>
      <c r="T72" s="179"/>
      <c r="U72" s="179"/>
      <c r="V72" s="178"/>
      <c r="W72" s="178"/>
      <c r="X72" s="178"/>
      <c r="Y72" s="178"/>
      <c r="Z72" s="178"/>
      <c r="AA72" s="178"/>
      <c r="AB72" s="178"/>
      <c r="AC72" s="178"/>
      <c r="AD72" s="178"/>
    </row>
    <row r="73" spans="1:30" x14ac:dyDescent="0.25">
      <c r="A73" s="180"/>
      <c r="B73" s="179"/>
      <c r="C73" s="179"/>
      <c r="D73" s="179"/>
      <c r="E73" s="179"/>
      <c r="F73" s="179"/>
      <c r="G73" s="179"/>
      <c r="H73" s="179"/>
      <c r="I73" s="179"/>
      <c r="J73" s="179"/>
      <c r="K73" s="179"/>
      <c r="L73" s="179"/>
      <c r="M73" s="179"/>
      <c r="N73" s="179"/>
      <c r="O73" s="179"/>
      <c r="P73" s="179"/>
      <c r="Q73" s="179"/>
      <c r="R73" s="179"/>
      <c r="S73" s="179"/>
      <c r="T73" s="179"/>
      <c r="U73" s="179"/>
      <c r="V73" s="178"/>
      <c r="W73" s="178"/>
      <c r="X73" s="178"/>
      <c r="Y73" s="178"/>
      <c r="Z73" s="178"/>
      <c r="AA73" s="178"/>
      <c r="AB73" s="178"/>
      <c r="AC73" s="178"/>
      <c r="AD73" s="178"/>
    </row>
    <row r="74" spans="1:30" hidden="1" x14ac:dyDescent="0.25">
      <c r="AC74" s="175"/>
      <c r="AD74" s="175"/>
    </row>
    <row r="75" spans="1:30" hidden="1" x14ac:dyDescent="0.25"/>
    <row r="76" spans="1:30" hidden="1" x14ac:dyDescent="0.25"/>
    <row r="77" spans="1:30" hidden="1" x14ac:dyDescent="0.25"/>
    <row r="78" spans="1:30" hidden="1" x14ac:dyDescent="0.25"/>
    <row r="79" spans="1:30" hidden="1" x14ac:dyDescent="0.25"/>
    <row r="80" spans="1:3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t="15" hidden="1" customHeight="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t="15" hidden="1" customHeight="1" x14ac:dyDescent="0.25"/>
    <row r="105" ht="15" hidden="1" customHeight="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sheetData>
  <mergeCells count="64">
    <mergeCell ref="B10:B13"/>
    <mergeCell ref="J10:O10"/>
    <mergeCell ref="J11:M11"/>
    <mergeCell ref="J12:O12"/>
    <mergeCell ref="J13:L13"/>
    <mergeCell ref="M13:M14"/>
    <mergeCell ref="N13:N14"/>
    <mergeCell ref="O26:O27"/>
    <mergeCell ref="G13:G14"/>
    <mergeCell ref="H13:H14"/>
    <mergeCell ref="I13:I14"/>
    <mergeCell ref="D25:I25"/>
    <mergeCell ref="D26:F26"/>
    <mergeCell ref="G26:G27"/>
    <mergeCell ref="P12:U12"/>
    <mergeCell ref="P13:R13"/>
    <mergeCell ref="B62:U62"/>
    <mergeCell ref="D59:U59"/>
    <mergeCell ref="B61:U61"/>
    <mergeCell ref="B26:B27"/>
    <mergeCell ref="O13:O14"/>
    <mergeCell ref="J25:O25"/>
    <mergeCell ref="J26:L26"/>
    <mergeCell ref="M26:M27"/>
    <mergeCell ref="D4:U4"/>
    <mergeCell ref="D8:U8"/>
    <mergeCell ref="C43:C44"/>
    <mergeCell ref="C46:C47"/>
    <mergeCell ref="C26:C27"/>
    <mergeCell ref="D12:I12"/>
    <mergeCell ref="D10:I10"/>
    <mergeCell ref="D11:G11"/>
    <mergeCell ref="C10:C13"/>
    <mergeCell ref="D13:F13"/>
    <mergeCell ref="P26:R26"/>
    <mergeCell ref="S26:S27"/>
    <mergeCell ref="T26:T27"/>
    <mergeCell ref="U26:U27"/>
    <mergeCell ref="E68:G68"/>
    <mergeCell ref="J68:M68"/>
    <mergeCell ref="B63:U63"/>
    <mergeCell ref="H26:H27"/>
    <mergeCell ref="I26:I27"/>
    <mergeCell ref="N26:N27"/>
    <mergeCell ref="V10:AA10"/>
    <mergeCell ref="V25:AA25"/>
    <mergeCell ref="Y13:Y14"/>
    <mergeCell ref="Z13:Z14"/>
    <mergeCell ref="S13:S14"/>
    <mergeCell ref="T13:T14"/>
    <mergeCell ref="U13:U14"/>
    <mergeCell ref="P25:U25"/>
    <mergeCell ref="P10:U10"/>
    <mergeCell ref="P11:S11"/>
    <mergeCell ref="AB25:AB27"/>
    <mergeCell ref="V26:X26"/>
    <mergeCell ref="AA26:AA27"/>
    <mergeCell ref="AB10:AB14"/>
    <mergeCell ref="V11:Y11"/>
    <mergeCell ref="V12:AA12"/>
    <mergeCell ref="V13:X13"/>
    <mergeCell ref="AA13:AA14"/>
    <mergeCell ref="Y26:Y27"/>
    <mergeCell ref="Z26:Z27"/>
  </mergeCells>
  <conditionalFormatting sqref="AB15:AB25">
    <cfRule type="cellIs" dxfId="47" priority="3" operator="equal">
      <formula>0</formula>
    </cfRule>
    <cfRule type="containsErrors" dxfId="46" priority="4">
      <formula>ISERROR(AB15)</formula>
    </cfRule>
  </conditionalFormatting>
  <conditionalFormatting sqref="AB28:AB41">
    <cfRule type="cellIs" dxfId="45" priority="1" operator="equal">
      <formula>0</formula>
    </cfRule>
    <cfRule type="containsErrors" dxfId="44" priority="2">
      <formula>ISERROR(AB28)</formula>
    </cfRule>
  </conditionalFormatting>
  <pageMargins left="0.70866141732283472" right="0.70866141732283472" top="0.78740157480314965" bottom="0.78740157480314965" header="0.31496062992125984" footer="0.31496062992125984"/>
  <pageSetup paperSize="8" scale="2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276"/>
  <sheetViews>
    <sheetView showGridLines="0" zoomScale="80" zoomScaleNormal="80" zoomScaleSheetLayoutView="80" workbookViewId="0">
      <selection activeCell="K2" sqref="A1:K2"/>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406" t="s">
        <v>109</v>
      </c>
      <c r="C2" s="180"/>
      <c r="D2" s="180"/>
      <c r="E2" s="180"/>
      <c r="F2" s="180"/>
      <c r="G2" s="180"/>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217</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46789707</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216</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952.6</v>
      </c>
      <c r="G15" s="366">
        <f>SUM(D15:F15)</f>
        <v>952.6</v>
      </c>
      <c r="H15" s="352">
        <v>53.1</v>
      </c>
      <c r="I15" s="266">
        <f>G15+H15</f>
        <v>1005.7</v>
      </c>
      <c r="J15" s="369"/>
      <c r="K15" s="368"/>
      <c r="L15" s="367">
        <v>1800</v>
      </c>
      <c r="M15" s="366">
        <f>SUM(J15:L15)</f>
        <v>1800</v>
      </c>
      <c r="N15" s="352">
        <v>100</v>
      </c>
      <c r="O15" s="266">
        <f>M15+N15</f>
        <v>1900</v>
      </c>
      <c r="P15" s="369"/>
      <c r="Q15" s="368"/>
      <c r="R15" s="367">
        <v>622.70000000000005</v>
      </c>
      <c r="S15" s="366">
        <f>SUM(P15:R15)</f>
        <v>622.70000000000005</v>
      </c>
      <c r="T15" s="352">
        <v>28.2</v>
      </c>
      <c r="U15" s="266">
        <f>S15+T15</f>
        <v>650.90000000000009</v>
      </c>
      <c r="V15" s="369"/>
      <c r="W15" s="368"/>
      <c r="X15" s="367">
        <v>1000</v>
      </c>
      <c r="Y15" s="366">
        <f>SUM(V15:X15)</f>
        <v>1000</v>
      </c>
      <c r="Z15" s="352">
        <v>100</v>
      </c>
      <c r="AA15" s="266">
        <f>Y15+Z15</f>
        <v>1100</v>
      </c>
      <c r="AB15" s="232">
        <f>(AA15/O15)</f>
        <v>0.57894736842105265</v>
      </c>
      <c r="AC15" s="178"/>
      <c r="AD15" s="178"/>
    </row>
    <row r="16" spans="1:30" x14ac:dyDescent="0.25">
      <c r="A16" s="180"/>
      <c r="B16" s="274" t="s">
        <v>86</v>
      </c>
      <c r="C16" s="361" t="s">
        <v>85</v>
      </c>
      <c r="D16" s="360">
        <v>4652.6000000000004</v>
      </c>
      <c r="E16" s="343"/>
      <c r="F16" s="343"/>
      <c r="G16" s="341">
        <f>SUM(D16:F16)</f>
        <v>4652.6000000000004</v>
      </c>
      <c r="H16" s="358"/>
      <c r="I16" s="266">
        <f>G16+H16</f>
        <v>4652.6000000000004</v>
      </c>
      <c r="J16" s="360">
        <v>4709</v>
      </c>
      <c r="K16" s="343"/>
      <c r="L16" s="343"/>
      <c r="M16" s="341">
        <f>SUM(J16:L16)</f>
        <v>4709</v>
      </c>
      <c r="N16" s="358"/>
      <c r="O16" s="266">
        <f>M16+N16</f>
        <v>4709</v>
      </c>
      <c r="P16" s="360">
        <v>2307.4</v>
      </c>
      <c r="Q16" s="343"/>
      <c r="R16" s="343"/>
      <c r="S16" s="341">
        <f>SUM(P16:R16)</f>
        <v>2307.4</v>
      </c>
      <c r="T16" s="358"/>
      <c r="U16" s="266">
        <f>S16+T16</f>
        <v>2307.4</v>
      </c>
      <c r="V16" s="360">
        <v>5050</v>
      </c>
      <c r="W16" s="343"/>
      <c r="X16" s="343"/>
      <c r="Y16" s="341">
        <f>SUM(V16:X16)</f>
        <v>5050</v>
      </c>
      <c r="Z16" s="358"/>
      <c r="AA16" s="266">
        <f>Y16+Z16</f>
        <v>5050</v>
      </c>
      <c r="AB16" s="232">
        <f>(AA16/O16)</f>
        <v>1.0724145253769377</v>
      </c>
      <c r="AC16" s="178"/>
      <c r="AD16" s="178"/>
    </row>
    <row r="17" spans="1:30" x14ac:dyDescent="0.25">
      <c r="A17" s="180"/>
      <c r="B17" s="274" t="s">
        <v>84</v>
      </c>
      <c r="C17" s="357" t="s">
        <v>83</v>
      </c>
      <c r="D17" s="356">
        <v>360.5</v>
      </c>
      <c r="E17" s="350"/>
      <c r="F17" s="350"/>
      <c r="G17" s="341">
        <f>SUM(D17:F17)</f>
        <v>360.5</v>
      </c>
      <c r="H17" s="355"/>
      <c r="I17" s="266">
        <f>G17+H17</f>
        <v>360.5</v>
      </c>
      <c r="J17" s="356">
        <v>414.8</v>
      </c>
      <c r="K17" s="350"/>
      <c r="L17" s="350"/>
      <c r="M17" s="341">
        <f>SUM(J17:L17)</f>
        <v>414.8</v>
      </c>
      <c r="N17" s="355"/>
      <c r="O17" s="266">
        <f>M17+N17</f>
        <v>414.8</v>
      </c>
      <c r="P17" s="356">
        <v>207.4</v>
      </c>
      <c r="Q17" s="350"/>
      <c r="R17" s="350"/>
      <c r="S17" s="341">
        <f>SUM(P17:R17)</f>
        <v>207.4</v>
      </c>
      <c r="T17" s="355"/>
      <c r="U17" s="266">
        <f>S17+T17</f>
        <v>207.4</v>
      </c>
      <c r="V17" s="356">
        <v>330.1</v>
      </c>
      <c r="W17" s="350"/>
      <c r="X17" s="350"/>
      <c r="Y17" s="341">
        <f>SUM(V17:X17)</f>
        <v>330.1</v>
      </c>
      <c r="Z17" s="355"/>
      <c r="AA17" s="266">
        <f>Y17+Z17</f>
        <v>330.1</v>
      </c>
      <c r="AB17" s="232">
        <f>(AA17/O17)</f>
        <v>0.7958052073288332</v>
      </c>
      <c r="AC17" s="178"/>
      <c r="AD17" s="178"/>
    </row>
    <row r="18" spans="1:30" x14ac:dyDescent="0.25">
      <c r="A18" s="180"/>
      <c r="B18" s="274" t="s">
        <v>82</v>
      </c>
      <c r="C18" s="354" t="s">
        <v>81</v>
      </c>
      <c r="D18" s="344"/>
      <c r="E18" s="353">
        <v>34096.199999999997</v>
      </c>
      <c r="F18" s="350"/>
      <c r="G18" s="341">
        <f>SUM(D18:F18)</f>
        <v>34096.199999999997</v>
      </c>
      <c r="H18" s="352"/>
      <c r="I18" s="266">
        <f>G18+H18</f>
        <v>34096.199999999997</v>
      </c>
      <c r="J18" s="344"/>
      <c r="K18" s="353">
        <v>32421.5</v>
      </c>
      <c r="L18" s="350"/>
      <c r="M18" s="341">
        <f>SUM(J18:L18)</f>
        <v>32421.5</v>
      </c>
      <c r="N18" s="352"/>
      <c r="O18" s="266">
        <f>M18+N18</f>
        <v>32421.5</v>
      </c>
      <c r="P18" s="344"/>
      <c r="Q18" s="353">
        <v>20124.5</v>
      </c>
      <c r="R18" s="350"/>
      <c r="S18" s="341">
        <f>SUM(P18:R18)</f>
        <v>20124.5</v>
      </c>
      <c r="T18" s="352"/>
      <c r="U18" s="266">
        <f>S18+T18</f>
        <v>20124.5</v>
      </c>
      <c r="V18" s="344"/>
      <c r="W18" s="353">
        <v>36700</v>
      </c>
      <c r="X18" s="350"/>
      <c r="Y18" s="341">
        <f>SUM(V18:X18)</f>
        <v>36700</v>
      </c>
      <c r="Z18" s="352"/>
      <c r="AA18" s="266">
        <f>Y18+Z18</f>
        <v>36700</v>
      </c>
      <c r="AB18" s="232">
        <f>(AA18/O18)</f>
        <v>1.131964899834986</v>
      </c>
      <c r="AC18" s="178"/>
      <c r="AD18" s="178"/>
    </row>
    <row r="19" spans="1:30" x14ac:dyDescent="0.25">
      <c r="A19" s="180"/>
      <c r="B19" s="274" t="s">
        <v>80</v>
      </c>
      <c r="C19" s="280" t="s">
        <v>79</v>
      </c>
      <c r="D19" s="351"/>
      <c r="E19" s="350"/>
      <c r="F19" s="347">
        <v>1051.8</v>
      </c>
      <c r="G19" s="341">
        <f>SUM(D19:F19)</f>
        <v>1051.8</v>
      </c>
      <c r="H19" s="345"/>
      <c r="I19" s="266">
        <f>G19+H19</f>
        <v>1051.8</v>
      </c>
      <c r="J19" s="351">
        <v>1096</v>
      </c>
      <c r="K19" s="350"/>
      <c r="L19" s="347"/>
      <c r="M19" s="341">
        <f>SUM(J19:L19)</f>
        <v>1096</v>
      </c>
      <c r="N19" s="345"/>
      <c r="O19" s="266">
        <f>M19+N19</f>
        <v>1096</v>
      </c>
      <c r="P19" s="351">
        <v>548</v>
      </c>
      <c r="Q19" s="350"/>
      <c r="R19" s="347"/>
      <c r="S19" s="341">
        <f>SUM(P19:R19)</f>
        <v>548</v>
      </c>
      <c r="T19" s="345"/>
      <c r="U19" s="266">
        <f>S19+T19</f>
        <v>548</v>
      </c>
      <c r="V19" s="351"/>
      <c r="W19" s="350"/>
      <c r="X19" s="347"/>
      <c r="Y19" s="341">
        <f>SUM(V19:X19)</f>
        <v>0</v>
      </c>
      <c r="Z19" s="345"/>
      <c r="AA19" s="266">
        <f>Y19+Z19</f>
        <v>0</v>
      </c>
      <c r="AB19" s="232">
        <f>(AA19/O19)</f>
        <v>0</v>
      </c>
      <c r="AC19" s="178"/>
      <c r="AD19" s="178"/>
    </row>
    <row r="20" spans="1:30" x14ac:dyDescent="0.25">
      <c r="A20" s="180"/>
      <c r="B20" s="274" t="s">
        <v>78</v>
      </c>
      <c r="C20" s="346" t="s">
        <v>77</v>
      </c>
      <c r="D20" s="344"/>
      <c r="E20" s="343"/>
      <c r="F20" s="342">
        <v>49.4</v>
      </c>
      <c r="G20" s="341">
        <v>49.4</v>
      </c>
      <c r="H20" s="345"/>
      <c r="I20" s="266">
        <f>G20+H20</f>
        <v>49.4</v>
      </c>
      <c r="J20" s="344"/>
      <c r="K20" s="343"/>
      <c r="L20" s="342">
        <v>100</v>
      </c>
      <c r="M20" s="341">
        <f>SUM(J20:L20)</f>
        <v>100</v>
      </c>
      <c r="N20" s="345"/>
      <c r="O20" s="266">
        <f>M20+N20</f>
        <v>100</v>
      </c>
      <c r="P20" s="344"/>
      <c r="Q20" s="343"/>
      <c r="R20" s="342">
        <v>29</v>
      </c>
      <c r="S20" s="341">
        <f>SUM(P20:R20)</f>
        <v>29</v>
      </c>
      <c r="T20" s="345"/>
      <c r="U20" s="266">
        <f>S20+T20</f>
        <v>29</v>
      </c>
      <c r="V20" s="344"/>
      <c r="W20" s="343"/>
      <c r="X20" s="342">
        <v>100</v>
      </c>
      <c r="Y20" s="341">
        <f>SUM(V20:X20)</f>
        <v>100</v>
      </c>
      <c r="Z20" s="345"/>
      <c r="AA20" s="266">
        <f>Y20+Z20</f>
        <v>100</v>
      </c>
      <c r="AB20" s="232">
        <f>(AA20/O20)</f>
        <v>1</v>
      </c>
      <c r="AC20" s="178"/>
      <c r="AD20" s="178"/>
    </row>
    <row r="21" spans="1:30" x14ac:dyDescent="0.25">
      <c r="A21" s="180"/>
      <c r="B21" s="274" t="s">
        <v>76</v>
      </c>
      <c r="C21" s="273" t="s">
        <v>75</v>
      </c>
      <c r="D21" s="344"/>
      <c r="E21" s="343"/>
      <c r="F21" s="342">
        <v>173</v>
      </c>
      <c r="G21" s="341">
        <f>SUM(D21:F21)</f>
        <v>173</v>
      </c>
      <c r="H21" s="336"/>
      <c r="I21" s="266">
        <f>G21+H21</f>
        <v>173</v>
      </c>
      <c r="J21" s="344"/>
      <c r="K21" s="343"/>
      <c r="L21" s="342">
        <v>1100</v>
      </c>
      <c r="M21" s="341">
        <f>SUM(J21:L21)</f>
        <v>1100</v>
      </c>
      <c r="N21" s="336"/>
      <c r="O21" s="266">
        <f>M21+N21</f>
        <v>1100</v>
      </c>
      <c r="P21" s="344"/>
      <c r="Q21" s="343"/>
      <c r="R21" s="342">
        <v>25.6</v>
      </c>
      <c r="S21" s="341">
        <f>SUM(P21:R21)</f>
        <v>25.6</v>
      </c>
      <c r="T21" s="336"/>
      <c r="U21" s="266">
        <f>S21+T21</f>
        <v>25.6</v>
      </c>
      <c r="V21" s="344"/>
      <c r="W21" s="343"/>
      <c r="X21" s="342">
        <v>32</v>
      </c>
      <c r="Y21" s="341">
        <f>SUM(V21:X21)</f>
        <v>32</v>
      </c>
      <c r="Z21" s="336"/>
      <c r="AA21" s="266">
        <f>Y21+Z21</f>
        <v>32</v>
      </c>
      <c r="AB21" s="232">
        <f>(AA21/O21)</f>
        <v>2.9090909090909091E-2</v>
      </c>
      <c r="AC21" s="178"/>
      <c r="AD21" s="178"/>
    </row>
    <row r="22" spans="1:30" x14ac:dyDescent="0.25">
      <c r="A22" s="180"/>
      <c r="B22" s="274" t="s">
        <v>74</v>
      </c>
      <c r="C22" s="273" t="s">
        <v>73</v>
      </c>
      <c r="D22" s="344"/>
      <c r="E22" s="343"/>
      <c r="F22" s="342"/>
      <c r="G22" s="341">
        <f>SUM(D22:F22)</f>
        <v>0</v>
      </c>
      <c r="H22" s="336"/>
      <c r="I22" s="266">
        <f>G22+H22</f>
        <v>0</v>
      </c>
      <c r="J22" s="344"/>
      <c r="K22" s="343"/>
      <c r="L22" s="342"/>
      <c r="M22" s="341">
        <f>SUM(J22:L22)</f>
        <v>0</v>
      </c>
      <c r="N22" s="336"/>
      <c r="O22" s="266">
        <f>M22+N22</f>
        <v>0</v>
      </c>
      <c r="P22" s="344"/>
      <c r="Q22" s="343"/>
      <c r="R22" s="342"/>
      <c r="S22" s="341">
        <f>SUM(P22:R22)</f>
        <v>0</v>
      </c>
      <c r="T22" s="336"/>
      <c r="U22" s="266">
        <f>S22+T22</f>
        <v>0</v>
      </c>
      <c r="V22" s="344"/>
      <c r="W22" s="343"/>
      <c r="X22" s="342"/>
      <c r="Y22" s="341">
        <f>SUM(V22:X22)</f>
        <v>0</v>
      </c>
      <c r="Z22" s="336"/>
      <c r="AA22" s="266">
        <f>Y22+Z22</f>
        <v>0</v>
      </c>
      <c r="AB22" s="232" t="e">
        <f>(AA22/O22)</f>
        <v>#DIV/0!</v>
      </c>
      <c r="AC22" s="178"/>
      <c r="AD22" s="178"/>
    </row>
    <row r="23" spans="1:30" ht="15.75" thickBot="1" x14ac:dyDescent="0.3">
      <c r="A23" s="180"/>
      <c r="B23" s="335" t="s">
        <v>72</v>
      </c>
      <c r="C23" s="334" t="s">
        <v>71</v>
      </c>
      <c r="D23" s="333"/>
      <c r="E23" s="332"/>
      <c r="F23" s="331">
        <v>12.5</v>
      </c>
      <c r="G23" s="330">
        <f>SUM(D23:F23)</f>
        <v>12.5</v>
      </c>
      <c r="H23" s="325"/>
      <c r="I23" s="255">
        <f>G23+H23</f>
        <v>12.5</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5013.1000000000004</v>
      </c>
      <c r="E24" s="322">
        <f>SUM(E15:E21)</f>
        <v>34096.199999999997</v>
      </c>
      <c r="F24" s="322">
        <f>SUM(F15:F21)</f>
        <v>2226.8000000000002</v>
      </c>
      <c r="G24" s="321">
        <f>SUM(D24:F24)</f>
        <v>41336.1</v>
      </c>
      <c r="H24" s="320">
        <f>SUM(H15:H21)</f>
        <v>53.1</v>
      </c>
      <c r="I24" s="320">
        <f>SUM(I15:I21)</f>
        <v>41389.200000000004</v>
      </c>
      <c r="J24" s="323">
        <f>SUM(J15:J21)</f>
        <v>6219.8</v>
      </c>
      <c r="K24" s="322">
        <f>SUM(K15:K21)</f>
        <v>32421.5</v>
      </c>
      <c r="L24" s="322">
        <f>SUM(L15:L21)</f>
        <v>3000</v>
      </c>
      <c r="M24" s="321">
        <f>SUM(J24:L24)</f>
        <v>41641.300000000003</v>
      </c>
      <c r="N24" s="320">
        <f>SUM(N15:N21)</f>
        <v>100</v>
      </c>
      <c r="O24" s="320">
        <f>SUM(O15:O21)</f>
        <v>41741.300000000003</v>
      </c>
      <c r="P24" s="323">
        <f>SUM(P15:P21)</f>
        <v>3062.8</v>
      </c>
      <c r="Q24" s="322">
        <f>SUM(Q15:Q21)</f>
        <v>20124.5</v>
      </c>
      <c r="R24" s="322">
        <f>SUM(R15:R21)</f>
        <v>677.30000000000007</v>
      </c>
      <c r="S24" s="321">
        <f>SUM(P24:R24)</f>
        <v>23864.6</v>
      </c>
      <c r="T24" s="320">
        <f>SUM(T15:T21)</f>
        <v>28.2</v>
      </c>
      <c r="U24" s="320">
        <f>SUM(U15:U21)</f>
        <v>23892.799999999999</v>
      </c>
      <c r="V24" s="323">
        <f>SUM(V15:V21)</f>
        <v>5380.1</v>
      </c>
      <c r="W24" s="322">
        <f>SUM(W15:W21)</f>
        <v>36700</v>
      </c>
      <c r="X24" s="322">
        <f>SUM(X15:X21)</f>
        <v>1132</v>
      </c>
      <c r="Y24" s="321">
        <f>SUM(V24:X24)</f>
        <v>43212.1</v>
      </c>
      <c r="Z24" s="320">
        <f>SUM(Z15:Z21)</f>
        <v>100</v>
      </c>
      <c r="AA24" s="320">
        <f>SUM(AA15:AA21)</f>
        <v>43312.1</v>
      </c>
      <c r="AB24" s="319">
        <f>(AA24/O24)</f>
        <v>1.0376317939307111</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240.3</v>
      </c>
      <c r="E28" s="287"/>
      <c r="F28" s="287">
        <v>800</v>
      </c>
      <c r="G28" s="478">
        <f>SUM(D28:F28)</f>
        <v>1040.3</v>
      </c>
      <c r="H28" s="286"/>
      <c r="I28" s="285">
        <f>G28+H28</f>
        <v>1040.3</v>
      </c>
      <c r="J28" s="288">
        <v>240</v>
      </c>
      <c r="K28" s="287"/>
      <c r="L28" s="287"/>
      <c r="M28" s="286">
        <f>SUM(J28:L28)</f>
        <v>240</v>
      </c>
      <c r="N28" s="286"/>
      <c r="O28" s="285">
        <f>M28+N28</f>
        <v>240</v>
      </c>
      <c r="P28" s="288">
        <v>72</v>
      </c>
      <c r="Q28" s="287"/>
      <c r="R28" s="287"/>
      <c r="S28" s="286">
        <f>SUM(P28:R28)</f>
        <v>72</v>
      </c>
      <c r="T28" s="286"/>
      <c r="U28" s="285">
        <f>S28+T28</f>
        <v>72</v>
      </c>
      <c r="V28" s="288">
        <v>240</v>
      </c>
      <c r="W28" s="287"/>
      <c r="X28" s="287"/>
      <c r="Y28" s="286">
        <f>SUM(V28:X28)</f>
        <v>240</v>
      </c>
      <c r="Z28" s="286"/>
      <c r="AA28" s="285">
        <f>Y28+Z28</f>
        <v>240</v>
      </c>
      <c r="AB28" s="232">
        <f>(AA28/O28)</f>
        <v>1</v>
      </c>
      <c r="AC28" s="178"/>
      <c r="AD28" s="178"/>
    </row>
    <row r="29" spans="1:30" x14ac:dyDescent="0.25">
      <c r="A29" s="180"/>
      <c r="B29" s="274" t="s">
        <v>56</v>
      </c>
      <c r="C29" s="284" t="s">
        <v>55</v>
      </c>
      <c r="D29" s="282">
        <v>720.9</v>
      </c>
      <c r="E29" s="282">
        <v>307</v>
      </c>
      <c r="F29" s="282">
        <v>893.6</v>
      </c>
      <c r="G29" s="281">
        <f>SUM(D29:F29)</f>
        <v>1921.5</v>
      </c>
      <c r="H29" s="281"/>
      <c r="I29" s="266">
        <f>G29+H29</f>
        <v>1921.5</v>
      </c>
      <c r="J29" s="283">
        <v>789.5</v>
      </c>
      <c r="K29" s="282">
        <v>400</v>
      </c>
      <c r="L29" s="282">
        <v>1900</v>
      </c>
      <c r="M29" s="263">
        <f>SUM(J29:L29)</f>
        <v>3089.5</v>
      </c>
      <c r="N29" s="281"/>
      <c r="O29" s="266">
        <f>M29+N29</f>
        <v>3089.5</v>
      </c>
      <c r="P29" s="283">
        <v>785.7</v>
      </c>
      <c r="Q29" s="282">
        <v>46.1</v>
      </c>
      <c r="R29" s="282"/>
      <c r="S29" s="263">
        <f>SUM(P29:R29)</f>
        <v>831.80000000000007</v>
      </c>
      <c r="T29" s="281"/>
      <c r="U29" s="266">
        <f>S29+T29</f>
        <v>831.80000000000007</v>
      </c>
      <c r="V29" s="283">
        <v>795</v>
      </c>
      <c r="W29" s="282">
        <v>1000</v>
      </c>
      <c r="X29" s="282">
        <v>1050</v>
      </c>
      <c r="Y29" s="263">
        <f>SUM(V29:X29)</f>
        <v>2845</v>
      </c>
      <c r="Z29" s="281">
        <v>10</v>
      </c>
      <c r="AA29" s="266">
        <f>Y29+Z29</f>
        <v>2855</v>
      </c>
      <c r="AB29" s="232">
        <f>(AA29/O29)</f>
        <v>0.92409775044505582</v>
      </c>
      <c r="AC29" s="178"/>
      <c r="AD29" s="178"/>
    </row>
    <row r="30" spans="1:30" x14ac:dyDescent="0.25">
      <c r="A30" s="180"/>
      <c r="B30" s="274" t="s">
        <v>54</v>
      </c>
      <c r="C30" s="273" t="s">
        <v>53</v>
      </c>
      <c r="D30" s="267">
        <v>1266.3</v>
      </c>
      <c r="E30" s="267"/>
      <c r="F30" s="267" t="s">
        <v>52</v>
      </c>
      <c r="G30" s="281">
        <f>SUM(D30:F30)</f>
        <v>1266.3</v>
      </c>
      <c r="H30" s="263">
        <v>10</v>
      </c>
      <c r="I30" s="266">
        <f>G30+H30</f>
        <v>1276.3</v>
      </c>
      <c r="J30" s="268">
        <v>1820</v>
      </c>
      <c r="K30" s="267"/>
      <c r="L30" s="267"/>
      <c r="M30" s="263">
        <f>SUM(J30:L30)</f>
        <v>1820</v>
      </c>
      <c r="N30" s="263">
        <v>20</v>
      </c>
      <c r="O30" s="266">
        <f>M30+N30</f>
        <v>1840</v>
      </c>
      <c r="P30" s="268">
        <v>875.6</v>
      </c>
      <c r="Q30" s="267"/>
      <c r="R30" s="267"/>
      <c r="S30" s="263">
        <f>SUM(P30:R30)</f>
        <v>875.6</v>
      </c>
      <c r="T30" s="263">
        <v>3.3</v>
      </c>
      <c r="U30" s="266">
        <f>S30+T30</f>
        <v>878.9</v>
      </c>
      <c r="V30" s="268">
        <v>1560</v>
      </c>
      <c r="W30" s="267"/>
      <c r="X30" s="267"/>
      <c r="Y30" s="263">
        <f>SUM(V30:X30)</f>
        <v>1560</v>
      </c>
      <c r="Z30" s="263">
        <v>20</v>
      </c>
      <c r="AA30" s="266">
        <f>Y30+Z30</f>
        <v>1580</v>
      </c>
      <c r="AB30" s="232">
        <f>(AA30/O30)</f>
        <v>0.85869565217391308</v>
      </c>
      <c r="AC30" s="178"/>
      <c r="AD30" s="178"/>
    </row>
    <row r="31" spans="1:30" x14ac:dyDescent="0.25">
      <c r="A31" s="180"/>
      <c r="B31" s="274" t="s">
        <v>51</v>
      </c>
      <c r="C31" s="273" t="s">
        <v>50</v>
      </c>
      <c r="D31" s="267">
        <v>299.2</v>
      </c>
      <c r="E31" s="267">
        <v>198.4</v>
      </c>
      <c r="F31" s="267">
        <v>366.8</v>
      </c>
      <c r="G31" s="281">
        <f>SUM(D31:F31)</f>
        <v>864.40000000000009</v>
      </c>
      <c r="H31" s="263"/>
      <c r="I31" s="266">
        <f>G31+H31</f>
        <v>864.40000000000009</v>
      </c>
      <c r="J31" s="268">
        <v>903.7</v>
      </c>
      <c r="K31" s="267">
        <v>43</v>
      </c>
      <c r="L31" s="267">
        <v>1100</v>
      </c>
      <c r="M31" s="263">
        <f>SUM(J31:L31)</f>
        <v>2046.7</v>
      </c>
      <c r="N31" s="263"/>
      <c r="O31" s="266">
        <f>M31+N31</f>
        <v>2046.7</v>
      </c>
      <c r="P31" s="268">
        <v>325.10000000000002</v>
      </c>
      <c r="Q31" s="267">
        <v>67.900000000000006</v>
      </c>
      <c r="R31" s="267">
        <v>6.6</v>
      </c>
      <c r="S31" s="263">
        <f>SUM(P31:R31)</f>
        <v>399.6</v>
      </c>
      <c r="T31" s="263"/>
      <c r="U31" s="266">
        <f>S31+T31</f>
        <v>399.6</v>
      </c>
      <c r="V31" s="268">
        <v>330</v>
      </c>
      <c r="W31" s="267"/>
      <c r="X31" s="267">
        <v>82</v>
      </c>
      <c r="Y31" s="263">
        <f>SUM(V31:X31)</f>
        <v>412</v>
      </c>
      <c r="Z31" s="263"/>
      <c r="AA31" s="266">
        <f>Y31+Z31</f>
        <v>412</v>
      </c>
      <c r="AB31" s="232">
        <f>(AA31/O31)</f>
        <v>0.20129965310011236</v>
      </c>
      <c r="AC31" s="178"/>
      <c r="AD31" s="178"/>
    </row>
    <row r="32" spans="1:30" x14ac:dyDescent="0.25">
      <c r="A32" s="180"/>
      <c r="B32" s="274" t="s">
        <v>49</v>
      </c>
      <c r="C32" s="273" t="s">
        <v>48</v>
      </c>
      <c r="D32" s="277">
        <v>201.6</v>
      </c>
      <c r="E32" s="267">
        <v>24049.1</v>
      </c>
      <c r="F32" s="267"/>
      <c r="G32" s="281">
        <f>SUM(D32:F32)</f>
        <v>24250.699999999997</v>
      </c>
      <c r="H32" s="263"/>
      <c r="I32" s="266">
        <f>G32+H32</f>
        <v>24250.699999999997</v>
      </c>
      <c r="J32" s="275">
        <v>192.7</v>
      </c>
      <c r="K32" s="267">
        <v>23420.5</v>
      </c>
      <c r="L32" s="267"/>
      <c r="M32" s="263">
        <f>SUM(J32:L32)</f>
        <v>23613.200000000001</v>
      </c>
      <c r="N32" s="263"/>
      <c r="O32" s="266">
        <f>M32+N32</f>
        <v>23613.200000000001</v>
      </c>
      <c r="P32" s="275"/>
      <c r="Q32" s="267">
        <v>11854.2</v>
      </c>
      <c r="R32" s="267"/>
      <c r="S32" s="263">
        <f>SUM(P32:R32)</f>
        <v>11854.2</v>
      </c>
      <c r="T32" s="263"/>
      <c r="U32" s="266">
        <f>S32+T32</f>
        <v>11854.2</v>
      </c>
      <c r="V32" s="275">
        <v>157.1</v>
      </c>
      <c r="W32" s="267">
        <v>26118</v>
      </c>
      <c r="X32" s="267"/>
      <c r="Y32" s="263">
        <f>SUM(V32:X32)</f>
        <v>26275.1</v>
      </c>
      <c r="Z32" s="263"/>
      <c r="AA32" s="266">
        <f>Y32+Z32</f>
        <v>26275.1</v>
      </c>
      <c r="AB32" s="232">
        <f>(AA32/O32)</f>
        <v>1.1127293208883167</v>
      </c>
      <c r="AC32" s="178"/>
      <c r="AD32" s="178"/>
    </row>
    <row r="33" spans="1:30" x14ac:dyDescent="0.25">
      <c r="A33" s="180"/>
      <c r="B33" s="274" t="s">
        <v>47</v>
      </c>
      <c r="C33" s="280" t="s">
        <v>46</v>
      </c>
      <c r="D33" s="277">
        <v>197</v>
      </c>
      <c r="E33" s="267">
        <v>23850.7</v>
      </c>
      <c r="F33" s="267"/>
      <c r="G33" s="263">
        <f>SUM(D33:F33)</f>
        <v>24047.7</v>
      </c>
      <c r="H33" s="263"/>
      <c r="I33" s="266">
        <f>G33+H33</f>
        <v>24047.7</v>
      </c>
      <c r="J33" s="275">
        <v>192.7</v>
      </c>
      <c r="K33" s="267">
        <v>23320.5</v>
      </c>
      <c r="L33" s="267"/>
      <c r="M33" s="263">
        <f>SUM(J33:L33)</f>
        <v>23513.200000000001</v>
      </c>
      <c r="N33" s="263"/>
      <c r="O33" s="266">
        <f>M33+N33</f>
        <v>23513.200000000001</v>
      </c>
      <c r="P33" s="275"/>
      <c r="Q33" s="267">
        <v>11739</v>
      </c>
      <c r="R33" s="267"/>
      <c r="S33" s="263">
        <f>SUM(P33:R33)</f>
        <v>11739</v>
      </c>
      <c r="T33" s="263"/>
      <c r="U33" s="266">
        <f>S33+T33</f>
        <v>11739</v>
      </c>
      <c r="V33" s="268">
        <v>134</v>
      </c>
      <c r="W33" s="267">
        <v>26018</v>
      </c>
      <c r="X33" s="267"/>
      <c r="Y33" s="263">
        <f>SUM(V33:X33)</f>
        <v>26152</v>
      </c>
      <c r="Z33" s="263"/>
      <c r="AA33" s="266">
        <f>Y33+Z33</f>
        <v>26152</v>
      </c>
      <c r="AB33" s="232">
        <f>(AA33/O33)</f>
        <v>1.1122263239371928</v>
      </c>
      <c r="AC33" s="178"/>
      <c r="AD33" s="178"/>
    </row>
    <row r="34" spans="1:30" x14ac:dyDescent="0.25">
      <c r="A34" s="180"/>
      <c r="B34" s="274" t="s">
        <v>45</v>
      </c>
      <c r="C34" s="278" t="s">
        <v>44</v>
      </c>
      <c r="D34" s="277">
        <v>4.5999999999999996</v>
      </c>
      <c r="E34" s="267">
        <v>198.4</v>
      </c>
      <c r="F34" s="267"/>
      <c r="G34" s="263">
        <f>SUM(D34:F34)</f>
        <v>203</v>
      </c>
      <c r="H34" s="263"/>
      <c r="I34" s="266">
        <f>G34+H34</f>
        <v>203</v>
      </c>
      <c r="J34" s="275"/>
      <c r="K34" s="267">
        <v>100</v>
      </c>
      <c r="L34" s="267"/>
      <c r="M34" s="263">
        <f>SUM(J34:L34)</f>
        <v>100</v>
      </c>
      <c r="N34" s="263"/>
      <c r="O34" s="266">
        <f>M34+N34</f>
        <v>100</v>
      </c>
      <c r="P34" s="275" t="s">
        <v>52</v>
      </c>
      <c r="Q34" s="267">
        <v>115.2</v>
      </c>
      <c r="R34" s="267"/>
      <c r="S34" s="263">
        <f>SUM(P34:R34)</f>
        <v>115.2</v>
      </c>
      <c r="T34" s="263"/>
      <c r="U34" s="266">
        <f>S34+T34</f>
        <v>115.2</v>
      </c>
      <c r="V34" s="275">
        <v>23.1</v>
      </c>
      <c r="W34" s="267">
        <v>100</v>
      </c>
      <c r="X34" s="267"/>
      <c r="Y34" s="263">
        <f>SUM(V34:X34)</f>
        <v>123.1</v>
      </c>
      <c r="Z34" s="263"/>
      <c r="AA34" s="266">
        <f>Y34+Z34</f>
        <v>123.1</v>
      </c>
      <c r="AB34" s="232">
        <f>(AA34/O34)</f>
        <v>1.2309999999999999</v>
      </c>
      <c r="AC34" s="178"/>
      <c r="AD34" s="178"/>
    </row>
    <row r="35" spans="1:30" x14ac:dyDescent="0.25">
      <c r="A35" s="180"/>
      <c r="B35" s="274" t="s">
        <v>43</v>
      </c>
      <c r="C35" s="273" t="s">
        <v>42</v>
      </c>
      <c r="D35" s="277">
        <v>66.599999999999994</v>
      </c>
      <c r="E35" s="267">
        <v>8143.4</v>
      </c>
      <c r="F35" s="267"/>
      <c r="G35" s="281">
        <f>SUM(D35:F35)</f>
        <v>8210</v>
      </c>
      <c r="H35" s="263"/>
      <c r="I35" s="266">
        <f>G35+H35</f>
        <v>8210</v>
      </c>
      <c r="J35" s="275">
        <v>68.900000000000006</v>
      </c>
      <c r="K35" s="267">
        <v>7927</v>
      </c>
      <c r="L35" s="267"/>
      <c r="M35" s="263">
        <f>SUM(J35:L35)</f>
        <v>7995.9</v>
      </c>
      <c r="N35" s="263"/>
      <c r="O35" s="266">
        <f>M35+N35</f>
        <v>7995.9</v>
      </c>
      <c r="P35" s="275"/>
      <c r="Q35" s="267">
        <v>4006</v>
      </c>
      <c r="R35" s="267"/>
      <c r="S35" s="263">
        <f>SUM(P35:R35)</f>
        <v>4006</v>
      </c>
      <c r="T35" s="263"/>
      <c r="U35" s="266">
        <f>S35+T35</f>
        <v>4006</v>
      </c>
      <c r="V35" s="275">
        <v>45.3</v>
      </c>
      <c r="W35" s="267">
        <v>8828</v>
      </c>
      <c r="X35" s="267"/>
      <c r="Y35" s="263">
        <f>SUM(V35:X35)</f>
        <v>8873.2999999999993</v>
      </c>
      <c r="Z35" s="263"/>
      <c r="AA35" s="266">
        <f>Y35+Z35</f>
        <v>8873.2999999999993</v>
      </c>
      <c r="AB35" s="232">
        <f>(AA35/O35)</f>
        <v>1.1097312372590953</v>
      </c>
      <c r="AC35" s="178"/>
      <c r="AD35" s="178"/>
    </row>
    <row r="36" spans="1:30" x14ac:dyDescent="0.25">
      <c r="A36" s="180"/>
      <c r="B36" s="274" t="s">
        <v>41</v>
      </c>
      <c r="C36" s="273" t="s">
        <v>40</v>
      </c>
      <c r="D36" s="267">
        <v>8.1999999999999993</v>
      </c>
      <c r="E36" s="267"/>
      <c r="F36" s="267"/>
      <c r="G36" s="281">
        <f>SUM(D36:F36)</f>
        <v>8.1999999999999993</v>
      </c>
      <c r="H36" s="263"/>
      <c r="I36" s="266">
        <f>G36+H36</f>
        <v>8.1999999999999993</v>
      </c>
      <c r="J36" s="268">
        <v>10</v>
      </c>
      <c r="K36" s="267"/>
      <c r="L36" s="267"/>
      <c r="M36" s="263">
        <f>SUM(J36:L36)</f>
        <v>10</v>
      </c>
      <c r="N36" s="263"/>
      <c r="O36" s="266">
        <f>M36+N36</f>
        <v>10</v>
      </c>
      <c r="P36" s="268"/>
      <c r="Q36" s="267"/>
      <c r="R36" s="267"/>
      <c r="S36" s="263">
        <f>SUM(P36:R36)</f>
        <v>0</v>
      </c>
      <c r="T36" s="263"/>
      <c r="U36" s="266">
        <f>S36+T36</f>
        <v>0</v>
      </c>
      <c r="V36" s="268">
        <v>4</v>
      </c>
      <c r="W36" s="267"/>
      <c r="X36" s="267"/>
      <c r="Y36" s="263">
        <f>SUM(V36:X36)</f>
        <v>4</v>
      </c>
      <c r="Z36" s="263"/>
      <c r="AA36" s="266">
        <f>Y36+Z36</f>
        <v>4</v>
      </c>
      <c r="AB36" s="232">
        <f>(AA36/O36)</f>
        <v>0.4</v>
      </c>
      <c r="AC36" s="178"/>
      <c r="AD36" s="178"/>
    </row>
    <row r="37" spans="1:30" x14ac:dyDescent="0.25">
      <c r="A37" s="180"/>
      <c r="B37" s="274" t="s">
        <v>39</v>
      </c>
      <c r="C37" s="273" t="s">
        <v>38</v>
      </c>
      <c r="D37" s="267">
        <v>1835.2</v>
      </c>
      <c r="E37" s="267"/>
      <c r="F37" s="267"/>
      <c r="G37" s="281">
        <f>SUM(D37:F37)</f>
        <v>1835.2</v>
      </c>
      <c r="H37" s="263"/>
      <c r="I37" s="266">
        <f>G37+H37</f>
        <v>1835.2</v>
      </c>
      <c r="J37" s="268">
        <v>1870</v>
      </c>
      <c r="K37" s="267"/>
      <c r="L37" s="267"/>
      <c r="M37" s="263">
        <f>SUM(J37:L37)</f>
        <v>1870</v>
      </c>
      <c r="N37" s="263"/>
      <c r="O37" s="266">
        <f>M37+N37</f>
        <v>1870</v>
      </c>
      <c r="P37" s="268">
        <v>935.1</v>
      </c>
      <c r="Q37" s="267"/>
      <c r="R37" s="267"/>
      <c r="S37" s="263">
        <f>SUM(P37:R37)</f>
        <v>935.1</v>
      </c>
      <c r="T37" s="263"/>
      <c r="U37" s="266">
        <f>S37+T37</f>
        <v>935.1</v>
      </c>
      <c r="V37" s="268">
        <v>1864</v>
      </c>
      <c r="W37" s="267"/>
      <c r="X37" s="267"/>
      <c r="Y37" s="263">
        <f>SUM(V37:X37)</f>
        <v>1864</v>
      </c>
      <c r="Z37" s="263"/>
      <c r="AA37" s="266">
        <f>Y37+Z37</f>
        <v>1864</v>
      </c>
      <c r="AB37" s="232">
        <f>(AA37/O37)</f>
        <v>0.99679144385026741</v>
      </c>
      <c r="AC37" s="178"/>
      <c r="AD37" s="178"/>
    </row>
    <row r="38" spans="1:30" ht="15.75" thickBot="1" x14ac:dyDescent="0.3">
      <c r="A38" s="180"/>
      <c r="B38" s="265" t="s">
        <v>37</v>
      </c>
      <c r="C38" s="264" t="s">
        <v>36</v>
      </c>
      <c r="D38" s="257">
        <v>371.7</v>
      </c>
      <c r="E38" s="257">
        <v>1394.7</v>
      </c>
      <c r="F38" s="257">
        <v>166.4</v>
      </c>
      <c r="G38" s="263">
        <f>SUM(D38:F38)</f>
        <v>1932.8000000000002</v>
      </c>
      <c r="H38" s="256"/>
      <c r="I38" s="255">
        <f>G38+H38</f>
        <v>1932.8000000000002</v>
      </c>
      <c r="J38" s="258">
        <v>325</v>
      </c>
      <c r="K38" s="257">
        <v>631</v>
      </c>
      <c r="L38" s="257"/>
      <c r="M38" s="256">
        <f>SUM(J38:L38)</f>
        <v>956</v>
      </c>
      <c r="N38" s="256">
        <v>80</v>
      </c>
      <c r="O38" s="255">
        <f>M38+N38</f>
        <v>1036</v>
      </c>
      <c r="P38" s="258">
        <v>69.2</v>
      </c>
      <c r="Q38" s="257">
        <v>251.7</v>
      </c>
      <c r="R38" s="257"/>
      <c r="S38" s="256">
        <f>SUM(P38:R38)</f>
        <v>320.89999999999998</v>
      </c>
      <c r="T38" s="256"/>
      <c r="U38" s="255">
        <f>S38+T38</f>
        <v>320.89999999999998</v>
      </c>
      <c r="V38" s="258">
        <v>384.7</v>
      </c>
      <c r="W38" s="257">
        <v>754</v>
      </c>
      <c r="X38" s="257"/>
      <c r="Y38" s="256">
        <f>SUM(V38:X38)</f>
        <v>1138.7</v>
      </c>
      <c r="Z38" s="256">
        <v>20</v>
      </c>
      <c r="AA38" s="255">
        <f>Y38+Z38</f>
        <v>1158.7</v>
      </c>
      <c r="AB38" s="254">
        <f>(AA38/O38)</f>
        <v>1.1184362934362935</v>
      </c>
      <c r="AC38" s="178"/>
      <c r="AD38" s="178"/>
    </row>
    <row r="39" spans="1:30" ht="15.75" thickBot="1" x14ac:dyDescent="0.3">
      <c r="A39" s="180"/>
      <c r="B39" s="253" t="s">
        <v>35</v>
      </c>
      <c r="C39" s="252" t="s">
        <v>34</v>
      </c>
      <c r="D39" s="251">
        <f>SUM(D35:D38)+SUM(D28:D32)</f>
        <v>5010</v>
      </c>
      <c r="E39" s="251">
        <f>SUM(E35:E38)+SUM(E28:E32)</f>
        <v>34092.6</v>
      </c>
      <c r="F39" s="251">
        <f>SUM(F35:F38)+SUM(F28:F32)</f>
        <v>2226.8000000000002</v>
      </c>
      <c r="G39" s="250">
        <f>SUM(D39:F39)</f>
        <v>41329.4</v>
      </c>
      <c r="H39" s="249">
        <f>SUM(H28:H32)+SUM(H35:H38)</f>
        <v>10</v>
      </c>
      <c r="I39" s="248">
        <f>SUM(I35:I38)+SUM(I28:I32)</f>
        <v>41339.399999999994</v>
      </c>
      <c r="J39" s="251">
        <f>SUM(J35:J38)+SUM(J28:J32)</f>
        <v>6219.7999999999993</v>
      </c>
      <c r="K39" s="251">
        <f>SUM(K35:K38)+SUM(K28:K32)</f>
        <v>32421.5</v>
      </c>
      <c r="L39" s="251">
        <f>SUM(L35:L38)+SUM(L28:L32)</f>
        <v>3000</v>
      </c>
      <c r="M39" s="250">
        <f>SUM(J39:L39)</f>
        <v>41641.300000000003</v>
      </c>
      <c r="N39" s="249">
        <f>SUM(N28:N32)+SUM(N35:N38)</f>
        <v>100</v>
      </c>
      <c r="O39" s="248">
        <f>SUM(O35:O38)+SUM(O28:O32)</f>
        <v>41741.300000000003</v>
      </c>
      <c r="P39" s="251">
        <f>SUM(P35:P38)+SUM(P28:P32)</f>
        <v>3062.7000000000003</v>
      </c>
      <c r="Q39" s="251">
        <f>SUM(Q35:Q38)+SUM(Q28:Q32)</f>
        <v>16225.900000000001</v>
      </c>
      <c r="R39" s="251">
        <f>SUM(R35:R38)+SUM(R28:R32)</f>
        <v>6.6</v>
      </c>
      <c r="S39" s="250">
        <f>SUM(P39:R39)</f>
        <v>19295.2</v>
      </c>
      <c r="T39" s="249">
        <f>SUM(T28:T32)+SUM(T35:T38)</f>
        <v>3.3</v>
      </c>
      <c r="U39" s="248">
        <f>SUM(U35:U38)+SUM(U28:U32)</f>
        <v>19298.5</v>
      </c>
      <c r="V39" s="251">
        <f>SUM(V35:V38)+SUM(V28:V32)</f>
        <v>5380.1</v>
      </c>
      <c r="W39" s="251">
        <f>SUM(W35:W38)+SUM(W28:W32)</f>
        <v>36700</v>
      </c>
      <c r="X39" s="251">
        <f>SUM(X35:X38)+SUM(X28:X32)</f>
        <v>1132</v>
      </c>
      <c r="Y39" s="250">
        <f>SUM(V39:X39)</f>
        <v>43212.1</v>
      </c>
      <c r="Z39" s="249">
        <f>SUM(Z28:Z32)+SUM(Z35:Z38)</f>
        <v>50</v>
      </c>
      <c r="AA39" s="248">
        <f>SUM(AA35:AA38)+SUM(AA28:AA32)</f>
        <v>43262.1</v>
      </c>
      <c r="AB39" s="247">
        <f>(AA39/O39)</f>
        <v>1.0364339395275182</v>
      </c>
      <c r="AC39" s="178"/>
      <c r="AD39" s="178"/>
    </row>
    <row r="40" spans="1:30" ht="19.5" thickBot="1" x14ac:dyDescent="0.35">
      <c r="A40" s="180"/>
      <c r="B40" s="246" t="s">
        <v>33</v>
      </c>
      <c r="C40" s="245" t="s">
        <v>32</v>
      </c>
      <c r="D40" s="244">
        <f>D24-D39</f>
        <v>3.1000000000003638</v>
      </c>
      <c r="E40" s="244">
        <f>E24-E39</f>
        <v>3.5999999999985448</v>
      </c>
      <c r="F40" s="244">
        <f>F24-F39</f>
        <v>0</v>
      </c>
      <c r="G40" s="243">
        <f>G24-G39</f>
        <v>6.6999999999970896</v>
      </c>
      <c r="H40" s="243">
        <f>H24-H39</f>
        <v>43.1</v>
      </c>
      <c r="I40" s="242">
        <f>I24-I39</f>
        <v>49.800000000010186</v>
      </c>
      <c r="J40" s="244">
        <f>J24-J39</f>
        <v>0</v>
      </c>
      <c r="K40" s="244">
        <f>K24-K39</f>
        <v>0</v>
      </c>
      <c r="L40" s="244">
        <f>L24-L39</f>
        <v>0</v>
      </c>
      <c r="M40" s="243">
        <f>M24-M39</f>
        <v>0</v>
      </c>
      <c r="N40" s="243">
        <f>N24-N39</f>
        <v>0</v>
      </c>
      <c r="O40" s="242">
        <f>O24-O39</f>
        <v>0</v>
      </c>
      <c r="P40" s="244">
        <f>P24-P39</f>
        <v>9.9999999999909051E-2</v>
      </c>
      <c r="Q40" s="244">
        <f>Q24-Q39</f>
        <v>3898.5999999999985</v>
      </c>
      <c r="R40" s="244">
        <f>R24-R39</f>
        <v>670.7</v>
      </c>
      <c r="S40" s="243">
        <f>S24-S39</f>
        <v>4569.3999999999978</v>
      </c>
      <c r="T40" s="243">
        <f>T24-T39</f>
        <v>24.9</v>
      </c>
      <c r="U40" s="242">
        <f>U24-U39</f>
        <v>4594.2999999999993</v>
      </c>
      <c r="V40" s="244">
        <f>V24-V39</f>
        <v>0</v>
      </c>
      <c r="W40" s="244">
        <f>W24-W39</f>
        <v>0</v>
      </c>
      <c r="X40" s="244">
        <f>X24-X39</f>
        <v>0</v>
      </c>
      <c r="Y40" s="243">
        <f>Y24-Y39</f>
        <v>0</v>
      </c>
      <c r="Z40" s="243">
        <f>Z24-Z39</f>
        <v>50</v>
      </c>
      <c r="AA40" s="242">
        <f>AA24-AA39</f>
        <v>50</v>
      </c>
      <c r="AB40" s="241" t="e">
        <f>(AA40/O40)</f>
        <v>#DIV/0!</v>
      </c>
      <c r="AC40" s="178"/>
      <c r="AD40" s="178"/>
    </row>
    <row r="41" spans="1:30" ht="15.75" thickBot="1" x14ac:dyDescent="0.3">
      <c r="A41" s="180"/>
      <c r="B41" s="240" t="s">
        <v>31</v>
      </c>
      <c r="C41" s="239" t="s">
        <v>30</v>
      </c>
      <c r="D41" s="237"/>
      <c r="E41" s="236"/>
      <c r="F41" s="236"/>
      <c r="G41" s="235"/>
      <c r="H41" s="238"/>
      <c r="I41" s="233">
        <f>I40-D16</f>
        <v>-4602.7999999999902</v>
      </c>
      <c r="J41" s="237"/>
      <c r="K41" s="236"/>
      <c r="L41" s="236"/>
      <c r="M41" s="235"/>
      <c r="N41" s="234"/>
      <c r="O41" s="233">
        <f>O40-J16</f>
        <v>-4709</v>
      </c>
      <c r="P41" s="237"/>
      <c r="Q41" s="236"/>
      <c r="R41" s="236"/>
      <c r="S41" s="235"/>
      <c r="T41" s="234"/>
      <c r="U41" s="233">
        <f>U40-P16</f>
        <v>2286.8999999999992</v>
      </c>
      <c r="V41" s="237"/>
      <c r="W41" s="236"/>
      <c r="X41" s="236"/>
      <c r="Y41" s="235"/>
      <c r="Z41" s="234"/>
      <c r="AA41" s="233">
        <f>AA40-V16</f>
        <v>-5000</v>
      </c>
      <c r="AB41" s="232">
        <f>(AA41/O41)</f>
        <v>1.0617965597791463</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364</v>
      </c>
      <c r="E44" s="225">
        <v>364</v>
      </c>
      <c r="F44" s="224">
        <v>0</v>
      </c>
      <c r="G44" s="202"/>
      <c r="H44" s="202"/>
      <c r="I44" s="201"/>
      <c r="J44" s="214">
        <v>413.7</v>
      </c>
      <c r="K44" s="225">
        <v>413.7</v>
      </c>
      <c r="L44" s="224">
        <v>0</v>
      </c>
      <c r="M44" s="223"/>
      <c r="N44" s="223"/>
      <c r="O44" s="223"/>
      <c r="P44" s="214">
        <v>206.8</v>
      </c>
      <c r="Q44" s="225">
        <v>206.8</v>
      </c>
      <c r="R44" s="224">
        <v>0</v>
      </c>
      <c r="S44" s="178"/>
      <c r="T44" s="178"/>
      <c r="U44" s="178"/>
      <c r="V44" s="214">
        <v>414</v>
      </c>
      <c r="W44" s="225">
        <v>414</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f>SUM(D51:D54)</f>
        <v>3649.1000000000004</v>
      </c>
      <c r="E50" s="210">
        <f>SUM(E51:E54)</f>
        <v>1602.3500000000001</v>
      </c>
      <c r="F50" s="210">
        <f>SUM(F51:F54)</f>
        <v>1596</v>
      </c>
      <c r="G50" s="209">
        <f>SUM(G51:G54)</f>
        <v>3655.4500000000003</v>
      </c>
      <c r="H50" s="202"/>
      <c r="I50" s="178"/>
      <c r="J50" s="210">
        <f>SUM(J51:J54)</f>
        <v>1883.7</v>
      </c>
      <c r="K50" s="210">
        <f>SUM(K51:K54)</f>
        <v>1369.2</v>
      </c>
      <c r="L50" s="210">
        <f>SUM(L51:L54)</f>
        <v>2468</v>
      </c>
      <c r="M50" s="210">
        <f>SUM(M51:M54)</f>
        <v>784.90000000000009</v>
      </c>
      <c r="N50" s="178"/>
      <c r="O50" s="178"/>
      <c r="P50" s="210">
        <f>SUM(P51:P54)</f>
        <v>3655.6</v>
      </c>
      <c r="Q50" s="210">
        <f>SUM(Q51:Q54)</f>
        <v>680.7</v>
      </c>
      <c r="R50" s="210">
        <f>SUM(R51:R54)</f>
        <v>1577.8</v>
      </c>
      <c r="S50" s="209">
        <f>P50+Q50-R50</f>
        <v>2758.5</v>
      </c>
      <c r="T50" s="178"/>
      <c r="U50" s="178"/>
      <c r="V50" s="210">
        <f>SUM(V51:V54)</f>
        <v>2758.5</v>
      </c>
      <c r="W50" s="210">
        <f>SUM(W51:W54)</f>
        <v>1344</v>
      </c>
      <c r="X50" s="210">
        <f>SUM(X51:X54)</f>
        <v>1014</v>
      </c>
      <c r="Y50" s="210">
        <f>SUM(Y51:Y54)</f>
        <v>3088.5</v>
      </c>
      <c r="Z50" s="178"/>
      <c r="AA50" s="178"/>
      <c r="AB50" s="178"/>
      <c r="AC50" s="178"/>
      <c r="AD50" s="178"/>
    </row>
    <row r="51" spans="1:30" x14ac:dyDescent="0.25">
      <c r="A51" s="180"/>
      <c r="B51" s="204"/>
      <c r="C51" s="206" t="s">
        <v>15</v>
      </c>
      <c r="D51" s="210">
        <v>2669.4</v>
      </c>
      <c r="E51" s="210">
        <v>98.3</v>
      </c>
      <c r="F51" s="210">
        <v>991.6</v>
      </c>
      <c r="G51" s="209">
        <f>D51+E51-F51</f>
        <v>1776.1000000000004</v>
      </c>
      <c r="H51" s="202"/>
      <c r="I51" s="178"/>
      <c r="J51" s="210">
        <v>514</v>
      </c>
      <c r="K51" s="210">
        <v>100</v>
      </c>
      <c r="L51" s="210">
        <v>100</v>
      </c>
      <c r="M51" s="209">
        <f>J51+K51-L51</f>
        <v>514</v>
      </c>
      <c r="N51" s="178"/>
      <c r="O51" s="178"/>
      <c r="P51" s="210">
        <v>1776.1</v>
      </c>
      <c r="Q51" s="210">
        <v>49.6</v>
      </c>
      <c r="R51" s="210">
        <v>1281.9000000000001</v>
      </c>
      <c r="S51" s="209">
        <f>P51+Q51-R51</f>
        <v>543.79999999999973</v>
      </c>
      <c r="T51" s="178"/>
      <c r="U51" s="178"/>
      <c r="V51" s="210">
        <v>543.79999999999995</v>
      </c>
      <c r="W51" s="210">
        <v>40</v>
      </c>
      <c r="X51" s="210">
        <v>0</v>
      </c>
      <c r="Y51" s="209">
        <f>V51+W51-X51</f>
        <v>583.79999999999995</v>
      </c>
      <c r="Z51" s="178"/>
      <c r="AA51" s="178"/>
      <c r="AB51" s="178"/>
      <c r="AC51" s="178"/>
      <c r="AD51" s="178"/>
    </row>
    <row r="52" spans="1:30" x14ac:dyDescent="0.25">
      <c r="A52" s="180"/>
      <c r="B52" s="204"/>
      <c r="C52" s="206" t="s">
        <v>14</v>
      </c>
      <c r="D52" s="210">
        <v>680.9</v>
      </c>
      <c r="E52" s="210">
        <v>953.1</v>
      </c>
      <c r="F52" s="210">
        <v>364.6</v>
      </c>
      <c r="G52" s="209">
        <f>D52+E52-F52</f>
        <v>1269.4000000000001</v>
      </c>
      <c r="H52" s="202"/>
      <c r="I52" s="178"/>
      <c r="J52" s="210">
        <v>1099.7</v>
      </c>
      <c r="K52" s="210">
        <v>814.2</v>
      </c>
      <c r="L52" s="210">
        <v>1913</v>
      </c>
      <c r="M52" s="209">
        <f>J52+K52-L52</f>
        <v>0.90000000000009095</v>
      </c>
      <c r="N52" s="178"/>
      <c r="O52" s="178"/>
      <c r="P52" s="210">
        <v>1269.5</v>
      </c>
      <c r="Q52" s="210">
        <v>387</v>
      </c>
      <c r="R52" s="210">
        <v>206.8</v>
      </c>
      <c r="S52" s="209">
        <f>P52+Q52-R52</f>
        <v>1449.7</v>
      </c>
      <c r="T52" s="178"/>
      <c r="U52" s="178"/>
      <c r="V52" s="210">
        <v>1449.7</v>
      </c>
      <c r="W52" s="210">
        <v>774</v>
      </c>
      <c r="X52" s="210">
        <v>414</v>
      </c>
      <c r="Y52" s="209">
        <f>V52+W52-X52</f>
        <v>1809.6999999999998</v>
      </c>
      <c r="Z52" s="178"/>
      <c r="AA52" s="178"/>
      <c r="AB52" s="178"/>
      <c r="AC52" s="178"/>
      <c r="AD52" s="178"/>
    </row>
    <row r="53" spans="1:30" x14ac:dyDescent="0.25">
      <c r="A53" s="180"/>
      <c r="B53" s="204"/>
      <c r="C53" s="206" t="s">
        <v>13</v>
      </c>
      <c r="D53" s="210">
        <v>200</v>
      </c>
      <c r="E53" s="210">
        <v>70</v>
      </c>
      <c r="F53" s="210">
        <v>0</v>
      </c>
      <c r="G53" s="209">
        <f>D53+E53-F53</f>
        <v>270</v>
      </c>
      <c r="H53" s="202"/>
      <c r="I53" s="178"/>
      <c r="J53" s="210">
        <v>270</v>
      </c>
      <c r="K53" s="210">
        <v>0</v>
      </c>
      <c r="L53" s="210">
        <v>0</v>
      </c>
      <c r="M53" s="209">
        <f>J53+K53-L53</f>
        <v>270</v>
      </c>
      <c r="N53" s="178"/>
      <c r="O53" s="178"/>
      <c r="P53" s="210">
        <v>270</v>
      </c>
      <c r="Q53" s="210">
        <v>9.9</v>
      </c>
      <c r="R53" s="210">
        <v>0</v>
      </c>
      <c r="S53" s="209">
        <f>P53+Q53-R53</f>
        <v>279.89999999999998</v>
      </c>
      <c r="T53" s="178"/>
      <c r="U53" s="178"/>
      <c r="V53" s="210">
        <v>279.89999999999998</v>
      </c>
      <c r="W53" s="210">
        <v>10</v>
      </c>
      <c r="X53" s="210">
        <v>0</v>
      </c>
      <c r="Y53" s="209">
        <f>V53+W53-X53</f>
        <v>289.89999999999998</v>
      </c>
      <c r="Z53" s="178"/>
      <c r="AA53" s="178"/>
      <c r="AB53" s="178"/>
      <c r="AC53" s="178"/>
      <c r="AD53" s="178"/>
    </row>
    <row r="54" spans="1:30" x14ac:dyDescent="0.25">
      <c r="A54" s="180"/>
      <c r="B54" s="204"/>
      <c r="C54" s="212" t="s">
        <v>12</v>
      </c>
      <c r="D54" s="210">
        <v>98.8</v>
      </c>
      <c r="E54" s="210">
        <v>480.95</v>
      </c>
      <c r="F54" s="210">
        <v>239.8</v>
      </c>
      <c r="G54" s="209">
        <f>D54+E54-F54</f>
        <v>339.95</v>
      </c>
      <c r="H54" s="202"/>
      <c r="I54" s="178"/>
      <c r="J54" s="210">
        <v>0</v>
      </c>
      <c r="K54" s="210">
        <v>455</v>
      </c>
      <c r="L54" s="210">
        <v>455</v>
      </c>
      <c r="M54" s="209">
        <f>J54+K54-L54</f>
        <v>0</v>
      </c>
      <c r="N54" s="178"/>
      <c r="O54" s="178"/>
      <c r="P54" s="210">
        <v>340</v>
      </c>
      <c r="Q54" s="210">
        <v>234.2</v>
      </c>
      <c r="R54" s="210">
        <v>89.1</v>
      </c>
      <c r="S54" s="209">
        <f>P54+Q54-R54</f>
        <v>485.1</v>
      </c>
      <c r="T54" s="178"/>
      <c r="U54" s="178"/>
      <c r="V54" s="210">
        <v>485.1</v>
      </c>
      <c r="W54" s="210">
        <v>520</v>
      </c>
      <c r="X54" s="210">
        <v>600</v>
      </c>
      <c r="Y54" s="209">
        <f>V54+W54-X54</f>
        <v>405.1</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47.5</v>
      </c>
      <c r="E57" s="205">
        <v>51.7</v>
      </c>
      <c r="F57" s="202"/>
      <c r="G57" s="202"/>
      <c r="H57" s="202"/>
      <c r="I57" s="201"/>
      <c r="J57" s="205">
        <v>49.9</v>
      </c>
      <c r="K57" s="202"/>
      <c r="L57" s="202"/>
      <c r="M57" s="202"/>
      <c r="N57" s="202"/>
      <c r="O57" s="201"/>
      <c r="P57" s="205">
        <v>54.6</v>
      </c>
      <c r="Q57" s="201"/>
      <c r="R57" s="201"/>
      <c r="S57" s="201"/>
      <c r="T57" s="201"/>
      <c r="U57" s="201"/>
      <c r="V57" s="205">
        <v>55</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198"/>
      <c r="V59" s="197"/>
      <c r="W59" s="197"/>
      <c r="X59" s="197"/>
      <c r="Y59" s="197"/>
      <c r="Z59" s="197"/>
      <c r="AA59" s="197"/>
      <c r="AB59" s="196"/>
      <c r="AC59" s="178"/>
      <c r="AD59" s="178"/>
    </row>
    <row r="60" spans="1:30" x14ac:dyDescent="0.25">
      <c r="A60" s="180"/>
      <c r="B60" s="195" t="s">
        <v>215</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0"/>
      <c r="AC60" s="178"/>
      <c r="AD60" s="178"/>
    </row>
    <row r="61" spans="1:30" x14ac:dyDescent="0.25">
      <c r="A61" s="180"/>
      <c r="B61" s="424"/>
      <c r="C61" s="423"/>
      <c r="D61" s="423"/>
      <c r="E61" s="423"/>
      <c r="F61" s="423"/>
      <c r="G61" s="423"/>
      <c r="H61" s="423"/>
      <c r="I61" s="423"/>
      <c r="J61" s="423"/>
      <c r="K61" s="423"/>
      <c r="L61" s="423"/>
      <c r="M61" s="423"/>
      <c r="N61" s="423"/>
      <c r="O61" s="423"/>
      <c r="P61" s="423"/>
      <c r="Q61" s="423"/>
      <c r="R61" s="423"/>
      <c r="S61" s="423"/>
      <c r="T61" s="423"/>
      <c r="U61" s="423"/>
      <c r="V61" s="191"/>
      <c r="W61" s="191"/>
      <c r="X61" s="191"/>
      <c r="Y61" s="191"/>
      <c r="Z61" s="191"/>
      <c r="AA61" s="191"/>
      <c r="AB61" s="190"/>
      <c r="AC61" s="178"/>
      <c r="AD61" s="178"/>
    </row>
    <row r="62" spans="1:30" x14ac:dyDescent="0.25">
      <c r="A62" s="180"/>
      <c r="B62" s="194"/>
      <c r="C62" s="184"/>
      <c r="D62" s="184"/>
      <c r="E62" s="184"/>
      <c r="F62" s="184"/>
      <c r="G62" s="184"/>
      <c r="H62" s="184"/>
      <c r="I62" s="184"/>
      <c r="J62" s="184"/>
      <c r="K62" s="184"/>
      <c r="L62" s="184"/>
      <c r="M62" s="184"/>
      <c r="N62" s="184"/>
      <c r="O62" s="184"/>
      <c r="P62" s="184"/>
      <c r="Q62" s="184"/>
      <c r="R62" s="184"/>
      <c r="S62" s="184"/>
      <c r="T62" s="184"/>
      <c r="U62" s="184"/>
      <c r="V62" s="191"/>
      <c r="W62" s="191"/>
      <c r="X62" s="191"/>
      <c r="Y62" s="191"/>
      <c r="Z62" s="191"/>
      <c r="AA62" s="191"/>
      <c r="AB62" s="190"/>
      <c r="AC62" s="178"/>
      <c r="AD62" s="178"/>
    </row>
    <row r="63" spans="1:30" x14ac:dyDescent="0.25">
      <c r="A63" s="180"/>
      <c r="B63" s="194"/>
      <c r="C63" s="184"/>
      <c r="D63" s="184"/>
      <c r="E63" s="184"/>
      <c r="F63" s="184"/>
      <c r="G63" s="184"/>
      <c r="H63" s="184"/>
      <c r="I63" s="184"/>
      <c r="J63" s="184"/>
      <c r="K63" s="184"/>
      <c r="L63" s="184"/>
      <c r="M63" s="184"/>
      <c r="N63" s="184"/>
      <c r="O63" s="184"/>
      <c r="P63" s="184"/>
      <c r="Q63" s="184"/>
      <c r="R63" s="184"/>
      <c r="S63" s="184"/>
      <c r="T63" s="184"/>
      <c r="U63" s="184"/>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192"/>
      <c r="V64" s="191"/>
      <c r="W64" s="191"/>
      <c r="X64" s="191"/>
      <c r="Y64" s="191"/>
      <c r="Z64" s="191"/>
      <c r="AA64" s="191"/>
      <c r="AB64" s="190"/>
      <c r="AC64" s="178"/>
      <c r="AD64" s="178"/>
    </row>
    <row r="65" spans="1:30" x14ac:dyDescent="0.25">
      <c r="A65" s="180"/>
      <c r="B65" s="193"/>
      <c r="C65" s="192"/>
      <c r="D65" s="192"/>
      <c r="E65" s="192"/>
      <c r="F65" s="192"/>
      <c r="G65" s="192"/>
      <c r="H65" s="192"/>
      <c r="I65" s="192"/>
      <c r="J65" s="192"/>
      <c r="K65" s="192"/>
      <c r="L65" s="192"/>
      <c r="M65" s="192"/>
      <c r="N65" s="192"/>
      <c r="O65" s="192"/>
      <c r="P65" s="192"/>
      <c r="Q65" s="192"/>
      <c r="R65" s="192"/>
      <c r="S65" s="192"/>
      <c r="T65" s="192"/>
      <c r="U65" s="19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192"/>
      <c r="V66" s="191"/>
      <c r="W66" s="191"/>
      <c r="X66" s="191"/>
      <c r="Y66" s="191"/>
      <c r="Z66" s="191"/>
      <c r="AA66" s="191"/>
      <c r="AB66" s="190"/>
      <c r="AC66" s="178"/>
      <c r="AD66" s="178"/>
    </row>
    <row r="67" spans="1:30" x14ac:dyDescent="0.25">
      <c r="A67" s="180"/>
      <c r="B67" s="193"/>
      <c r="C67" s="192"/>
      <c r="D67" s="192"/>
      <c r="E67" s="192"/>
      <c r="F67" s="192"/>
      <c r="G67" s="192"/>
      <c r="H67" s="192"/>
      <c r="I67" s="192"/>
      <c r="J67" s="192"/>
      <c r="K67" s="192"/>
      <c r="L67" s="192"/>
      <c r="M67" s="192"/>
      <c r="N67" s="192"/>
      <c r="O67" s="192"/>
      <c r="P67" s="192"/>
      <c r="Q67" s="192"/>
      <c r="R67" s="192"/>
      <c r="S67" s="192"/>
      <c r="T67" s="192"/>
      <c r="U67" s="19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19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19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19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19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19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19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19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19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19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19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19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19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19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19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184"/>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19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19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19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19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409"/>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44471</v>
      </c>
      <c r="D91" s="179" t="s">
        <v>4</v>
      </c>
      <c r="E91" s="184" t="s">
        <v>214</v>
      </c>
      <c r="F91" s="184"/>
      <c r="G91" s="184"/>
      <c r="H91" s="179"/>
      <c r="I91" s="179" t="s">
        <v>2</v>
      </c>
      <c r="J91" s="183" t="s">
        <v>213</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5">
    <mergeCell ref="V10:AA10"/>
    <mergeCell ref="V25:AA25"/>
    <mergeCell ref="Y13:Y14"/>
    <mergeCell ref="Z13:Z14"/>
    <mergeCell ref="AB25:AB27"/>
    <mergeCell ref="V26:X26"/>
    <mergeCell ref="AA26:AA27"/>
    <mergeCell ref="AB10:AB14"/>
    <mergeCell ref="V11:Y11"/>
    <mergeCell ref="V12:AA12"/>
    <mergeCell ref="V13:X13"/>
    <mergeCell ref="AA13:AA14"/>
    <mergeCell ref="Y26:Y27"/>
    <mergeCell ref="Z26:Z27"/>
    <mergeCell ref="S13:S14"/>
    <mergeCell ref="T13:T14"/>
    <mergeCell ref="U13:U14"/>
    <mergeCell ref="P25:U25"/>
    <mergeCell ref="P26:R26"/>
    <mergeCell ref="S26:S27"/>
    <mergeCell ref="T26:T27"/>
    <mergeCell ref="U26:U27"/>
    <mergeCell ref="D12:I12"/>
    <mergeCell ref="D10:I10"/>
    <mergeCell ref="D11:G11"/>
    <mergeCell ref="C10:C13"/>
    <mergeCell ref="D13:F13"/>
    <mergeCell ref="H26:H27"/>
    <mergeCell ref="I26:I27"/>
    <mergeCell ref="H13:H14"/>
    <mergeCell ref="E91:G91"/>
    <mergeCell ref="J91:M91"/>
    <mergeCell ref="B63:U63"/>
    <mergeCell ref="B82:U82"/>
    <mergeCell ref="D4:U4"/>
    <mergeCell ref="D8:U8"/>
    <mergeCell ref="C43:C44"/>
    <mergeCell ref="C46:C47"/>
    <mergeCell ref="C26:C27"/>
    <mergeCell ref="B62:U62"/>
    <mergeCell ref="D59:U59"/>
    <mergeCell ref="B61:U61"/>
    <mergeCell ref="B26:B27"/>
    <mergeCell ref="O13:O14"/>
    <mergeCell ref="J25:O25"/>
    <mergeCell ref="J26:L26"/>
    <mergeCell ref="M26:M27"/>
    <mergeCell ref="N26:N27"/>
    <mergeCell ref="O26:O27"/>
    <mergeCell ref="I13:I14"/>
    <mergeCell ref="D25:I25"/>
    <mergeCell ref="D26:F26"/>
    <mergeCell ref="G26:G27"/>
    <mergeCell ref="B10:B13"/>
    <mergeCell ref="P10:U10"/>
    <mergeCell ref="P11:S11"/>
    <mergeCell ref="P12:U12"/>
    <mergeCell ref="P13:R13"/>
    <mergeCell ref="G13:G14"/>
    <mergeCell ref="J10:O10"/>
    <mergeCell ref="J11:M11"/>
    <mergeCell ref="J12:O12"/>
    <mergeCell ref="J13:L13"/>
    <mergeCell ref="M13:M14"/>
    <mergeCell ref="N13:N14"/>
  </mergeCells>
  <conditionalFormatting sqref="AB15:AB25">
    <cfRule type="cellIs" dxfId="43" priority="3" operator="equal">
      <formula>0</formula>
    </cfRule>
    <cfRule type="containsErrors" dxfId="42" priority="4">
      <formula>ISERROR(AB15)</formula>
    </cfRule>
  </conditionalFormatting>
  <conditionalFormatting sqref="AB28:AB41">
    <cfRule type="cellIs" dxfId="41" priority="1" operator="equal">
      <formula>0</formula>
    </cfRule>
    <cfRule type="containsErrors" dxfId="40" priority="2">
      <formula>ISERROR(AB28)</formula>
    </cfRule>
  </conditionalFormatting>
  <pageMargins left="0.70866141732283472" right="0.70866141732283472" top="0.78740157480314965" bottom="0.78740157480314965" header="0.31496062992125984" footer="0.31496062992125984"/>
  <pageSetup paperSize="9" scale="2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276"/>
  <sheetViews>
    <sheetView showGridLines="0" zoomScale="80" zoomScaleNormal="80" zoomScaleSheetLayoutView="80" workbookViewId="0">
      <selection activeCell="D8" sqref="A1:U8"/>
    </sheetView>
  </sheetViews>
  <sheetFormatPr defaultColWidth="0" defaultRowHeight="15" zeroHeight="1" x14ac:dyDescent="0.25"/>
  <cols>
    <col min="1" max="1" width="4.5703125" style="176" customWidth="1"/>
    <col min="2" max="2" width="9.140625" style="176" customWidth="1"/>
    <col min="3" max="3" width="65.7109375" style="176" customWidth="1"/>
    <col min="4" max="4" width="16.5703125" style="176" customWidth="1"/>
    <col min="5" max="5" width="17.85546875" style="176" bestFit="1" customWidth="1"/>
    <col min="6" max="6" width="16.85546875" style="176" bestFit="1" customWidth="1"/>
    <col min="7" max="7" width="21.28515625" style="176" bestFit="1" customWidth="1"/>
    <col min="8" max="8" width="14.140625" style="176" customWidth="1"/>
    <col min="9" max="9" width="11.28515625" style="176" customWidth="1"/>
    <col min="10" max="10" width="16.140625" style="176" bestFit="1" customWidth="1"/>
    <col min="11" max="11" width="17.85546875" style="176" bestFit="1" customWidth="1"/>
    <col min="12" max="12" width="13.7109375" style="176" bestFit="1" customWidth="1"/>
    <col min="13" max="13" width="23.42578125" style="177" bestFit="1" customWidth="1"/>
    <col min="14" max="14" width="13.28515625" style="176" customWidth="1"/>
    <col min="15" max="15" width="11.28515625" style="176" customWidth="1"/>
    <col min="16" max="18" width="16.42578125" style="176" customWidth="1"/>
    <col min="19" max="19" width="21.140625" style="176" customWidth="1"/>
    <col min="20" max="20" width="12.42578125" style="176" customWidth="1"/>
    <col min="21" max="21" width="10.7109375" style="176" bestFit="1" customWidth="1"/>
    <col min="22" max="22" width="16.140625" style="176" bestFit="1" customWidth="1"/>
    <col min="23" max="23" width="14.140625" style="176" bestFit="1" customWidth="1"/>
    <col min="24" max="24" width="13.140625" style="176" bestFit="1" customWidth="1"/>
    <col min="25" max="25" width="21.85546875" style="176" customWidth="1"/>
    <col min="26" max="26" width="12.5703125" style="176" customWidth="1"/>
    <col min="27" max="27" width="10.7109375" style="176" bestFit="1" customWidth="1"/>
    <col min="28" max="28" width="17.7109375" style="176" customWidth="1"/>
    <col min="29" max="29" width="5.85546875" style="176" customWidth="1"/>
    <col min="30" max="30" width="0" style="176" hidden="1" customWidth="1"/>
    <col min="31" max="16384" width="9.140625" style="175" hidden="1"/>
  </cols>
  <sheetData>
    <row r="1" spans="1:30" x14ac:dyDescent="0.25">
      <c r="A1" s="180"/>
      <c r="B1" s="180"/>
      <c r="C1" s="180"/>
      <c r="D1" s="180"/>
      <c r="E1" s="180"/>
      <c r="F1" s="180"/>
      <c r="G1" s="180"/>
      <c r="H1" s="180"/>
      <c r="I1" s="180"/>
      <c r="J1" s="180"/>
      <c r="K1" s="180"/>
      <c r="L1" s="180"/>
      <c r="M1" s="401"/>
      <c r="N1" s="180"/>
      <c r="O1" s="180"/>
      <c r="P1" s="180"/>
      <c r="Q1" s="180"/>
      <c r="R1" s="180"/>
      <c r="S1" s="180"/>
      <c r="T1" s="180"/>
      <c r="U1" s="180"/>
      <c r="V1" s="178"/>
      <c r="W1" s="178"/>
      <c r="X1" s="178"/>
      <c r="Y1" s="178"/>
      <c r="Z1" s="178"/>
      <c r="AA1" s="178"/>
      <c r="AB1" s="178"/>
      <c r="AC1" s="178"/>
    </row>
    <row r="2" spans="1:30" ht="21" x14ac:dyDescent="0.35">
      <c r="A2" s="180"/>
      <c r="B2" s="672" t="s">
        <v>240</v>
      </c>
      <c r="C2" s="671"/>
      <c r="D2" s="671"/>
      <c r="E2" s="671"/>
      <c r="F2" s="671"/>
      <c r="G2" s="671"/>
      <c r="H2" s="180"/>
      <c r="I2" s="180"/>
      <c r="J2" s="180"/>
      <c r="K2" s="180"/>
      <c r="L2" s="180"/>
      <c r="M2" s="401"/>
      <c r="N2" s="180"/>
      <c r="O2" s="180"/>
      <c r="P2" s="180"/>
      <c r="Q2" s="180"/>
      <c r="R2" s="180"/>
      <c r="S2" s="180"/>
      <c r="T2" s="180"/>
      <c r="U2" s="180"/>
      <c r="V2" s="178"/>
      <c r="W2" s="178"/>
      <c r="X2" s="178"/>
      <c r="Y2" s="178"/>
      <c r="Z2" s="178"/>
      <c r="AA2" s="178"/>
      <c r="AB2" s="178"/>
      <c r="AC2" s="178"/>
    </row>
    <row r="3" spans="1:30" ht="7.5" customHeight="1" x14ac:dyDescent="0.25">
      <c r="A3" s="180"/>
      <c r="B3" s="180"/>
      <c r="C3" s="180"/>
      <c r="D3" s="180"/>
      <c r="E3" s="180"/>
      <c r="F3" s="180"/>
      <c r="G3" s="180"/>
      <c r="H3" s="180"/>
      <c r="I3" s="180"/>
      <c r="J3" s="180"/>
      <c r="K3" s="180"/>
      <c r="L3" s="180"/>
      <c r="M3" s="401"/>
      <c r="N3" s="180"/>
      <c r="O3" s="180"/>
      <c r="P3" s="180"/>
      <c r="Q3" s="180"/>
      <c r="R3" s="180"/>
      <c r="S3" s="180"/>
      <c r="T3" s="180"/>
      <c r="U3" s="180"/>
      <c r="V3" s="178"/>
      <c r="W3" s="178"/>
      <c r="X3" s="178"/>
      <c r="Y3" s="178"/>
      <c r="Z3" s="178"/>
      <c r="AA3" s="178"/>
      <c r="AB3" s="178"/>
      <c r="AC3" s="178"/>
    </row>
    <row r="4" spans="1:30" ht="21" x14ac:dyDescent="0.35">
      <c r="A4" s="180"/>
      <c r="B4" s="180" t="s">
        <v>108</v>
      </c>
      <c r="C4" s="180"/>
      <c r="D4" s="405" t="s">
        <v>239</v>
      </c>
      <c r="E4" s="405"/>
      <c r="F4" s="405"/>
      <c r="G4" s="405"/>
      <c r="H4" s="405"/>
      <c r="I4" s="405"/>
      <c r="J4" s="405"/>
      <c r="K4" s="405"/>
      <c r="L4" s="405"/>
      <c r="M4" s="405"/>
      <c r="N4" s="405"/>
      <c r="O4" s="405"/>
      <c r="P4" s="405"/>
      <c r="Q4" s="405"/>
      <c r="R4" s="405"/>
      <c r="S4" s="405"/>
      <c r="T4" s="405"/>
      <c r="U4" s="405"/>
      <c r="V4" s="178"/>
      <c r="W4" s="178"/>
      <c r="X4" s="178"/>
      <c r="Y4" s="178"/>
      <c r="Z4" s="178"/>
      <c r="AA4" s="178"/>
      <c r="AB4" s="178"/>
      <c r="AC4" s="178"/>
    </row>
    <row r="5" spans="1:30" ht="3.75" customHeight="1" x14ac:dyDescent="0.25">
      <c r="A5" s="180"/>
      <c r="B5" s="180"/>
      <c r="C5" s="180"/>
      <c r="D5" s="180"/>
      <c r="E5" s="180"/>
      <c r="F5" s="180"/>
      <c r="G5" s="180"/>
      <c r="H5" s="180"/>
      <c r="I5" s="180"/>
      <c r="J5" s="180"/>
      <c r="K5" s="180"/>
      <c r="L5" s="180"/>
      <c r="M5" s="401"/>
      <c r="N5" s="180"/>
      <c r="O5" s="180"/>
      <c r="P5" s="180"/>
      <c r="Q5" s="180"/>
      <c r="R5" s="180"/>
      <c r="S5" s="180"/>
      <c r="T5" s="180"/>
      <c r="U5" s="180"/>
      <c r="V5" s="178"/>
      <c r="W5" s="178"/>
      <c r="X5" s="178"/>
      <c r="Y5" s="178"/>
      <c r="Z5" s="178"/>
      <c r="AA5" s="178"/>
      <c r="AB5" s="178"/>
      <c r="AC5" s="178"/>
    </row>
    <row r="6" spans="1:30" x14ac:dyDescent="0.25">
      <c r="A6" s="180"/>
      <c r="B6" s="180" t="s">
        <v>106</v>
      </c>
      <c r="C6" s="180"/>
      <c r="D6" s="404">
        <v>831476</v>
      </c>
      <c r="E6" s="180"/>
      <c r="F6" s="180"/>
      <c r="G6" s="180"/>
      <c r="H6" s="180"/>
      <c r="I6" s="180"/>
      <c r="J6" s="180"/>
      <c r="K6" s="180"/>
      <c r="L6" s="180"/>
      <c r="M6" s="401"/>
      <c r="N6" s="180"/>
      <c r="O6" s="180"/>
      <c r="P6" s="180"/>
      <c r="Q6" s="180"/>
      <c r="R6" s="180"/>
      <c r="S6" s="180"/>
      <c r="T6" s="180"/>
      <c r="U6" s="180"/>
      <c r="V6" s="178"/>
      <c r="W6" s="178"/>
      <c r="X6" s="178"/>
      <c r="Y6" s="178"/>
      <c r="Z6" s="178"/>
      <c r="AA6" s="178"/>
      <c r="AB6" s="178"/>
      <c r="AC6" s="178"/>
    </row>
    <row r="7" spans="1:30" ht="3.75" customHeight="1" x14ac:dyDescent="0.25">
      <c r="A7" s="180"/>
      <c r="B7" s="180"/>
      <c r="C7" s="180"/>
      <c r="D7" s="403"/>
      <c r="E7" s="180"/>
      <c r="F7" s="180"/>
      <c r="G7" s="180"/>
      <c r="H7" s="180"/>
      <c r="I7" s="180"/>
      <c r="J7" s="180"/>
      <c r="K7" s="180"/>
      <c r="L7" s="180"/>
      <c r="M7" s="401"/>
      <c r="N7" s="180"/>
      <c r="O7" s="180"/>
      <c r="P7" s="180"/>
      <c r="Q7" s="180"/>
      <c r="R7" s="180"/>
      <c r="S7" s="180"/>
      <c r="T7" s="180"/>
      <c r="U7" s="180"/>
      <c r="V7" s="178"/>
      <c r="W7" s="178"/>
      <c r="X7" s="178"/>
      <c r="Y7" s="178"/>
      <c r="Z7" s="178"/>
      <c r="AA7" s="178"/>
      <c r="AB7" s="178"/>
      <c r="AC7" s="178"/>
    </row>
    <row r="8" spans="1:30" x14ac:dyDescent="0.25">
      <c r="A8" s="180"/>
      <c r="B8" s="180" t="s">
        <v>104</v>
      </c>
      <c r="C8" s="180"/>
      <c r="D8" s="402" t="s">
        <v>238</v>
      </c>
      <c r="E8" s="402"/>
      <c r="F8" s="402"/>
      <c r="G8" s="402"/>
      <c r="H8" s="402"/>
      <c r="I8" s="402"/>
      <c r="J8" s="402"/>
      <c r="K8" s="402"/>
      <c r="L8" s="402"/>
      <c r="M8" s="402"/>
      <c r="N8" s="402"/>
      <c r="O8" s="402"/>
      <c r="P8" s="402"/>
      <c r="Q8" s="402"/>
      <c r="R8" s="402"/>
      <c r="S8" s="402"/>
      <c r="T8" s="402"/>
      <c r="U8" s="402"/>
      <c r="V8" s="178"/>
      <c r="W8" s="178"/>
      <c r="X8" s="178"/>
      <c r="Y8" s="178"/>
      <c r="Z8" s="178"/>
      <c r="AA8" s="178"/>
      <c r="AB8" s="178"/>
      <c r="AC8" s="178"/>
    </row>
    <row r="9" spans="1:30" ht="15.75" thickBot="1" x14ac:dyDescent="0.3">
      <c r="A9" s="180"/>
      <c r="B9" s="180"/>
      <c r="C9" s="180"/>
      <c r="D9" s="180"/>
      <c r="E9" s="180"/>
      <c r="F9" s="180"/>
      <c r="G9" s="180"/>
      <c r="H9" s="180"/>
      <c r="I9" s="180"/>
      <c r="J9" s="180"/>
      <c r="K9" s="180"/>
      <c r="L9" s="180"/>
      <c r="M9" s="401"/>
      <c r="N9" s="180"/>
      <c r="O9" s="180"/>
      <c r="P9" s="180"/>
      <c r="Q9" s="180"/>
      <c r="R9" s="180"/>
      <c r="S9" s="180"/>
      <c r="T9" s="180"/>
      <c r="U9" s="180"/>
      <c r="V9" s="178"/>
      <c r="W9" s="178"/>
      <c r="X9" s="178"/>
      <c r="Y9" s="178"/>
      <c r="Z9" s="178"/>
      <c r="AA9" s="178"/>
      <c r="AB9" s="178"/>
      <c r="AC9" s="178"/>
    </row>
    <row r="10" spans="1:30" ht="29.25" customHeight="1" thickBot="1" x14ac:dyDescent="0.3">
      <c r="A10" s="180"/>
      <c r="B10" s="400" t="s">
        <v>67</v>
      </c>
      <c r="C10" s="310" t="s">
        <v>66</v>
      </c>
      <c r="D10" s="399" t="s">
        <v>102</v>
      </c>
      <c r="E10" s="398"/>
      <c r="F10" s="398"/>
      <c r="G10" s="398"/>
      <c r="H10" s="398"/>
      <c r="I10" s="397"/>
      <c r="J10" s="399" t="s">
        <v>101</v>
      </c>
      <c r="K10" s="398"/>
      <c r="L10" s="398"/>
      <c r="M10" s="398"/>
      <c r="N10" s="398"/>
      <c r="O10" s="397"/>
      <c r="P10" s="399" t="s">
        <v>100</v>
      </c>
      <c r="Q10" s="398"/>
      <c r="R10" s="398"/>
      <c r="S10" s="398"/>
      <c r="T10" s="398"/>
      <c r="U10" s="397"/>
      <c r="V10" s="399" t="s">
        <v>99</v>
      </c>
      <c r="W10" s="398"/>
      <c r="X10" s="398"/>
      <c r="Y10" s="398"/>
      <c r="Z10" s="398"/>
      <c r="AA10" s="397"/>
      <c r="AB10" s="396" t="s">
        <v>68</v>
      </c>
      <c r="AC10" s="178"/>
      <c r="AD10" s="178"/>
    </row>
    <row r="11" spans="1:30" ht="30.75" customHeight="1" thickBot="1" x14ac:dyDescent="0.3">
      <c r="A11" s="180"/>
      <c r="B11" s="391"/>
      <c r="C11" s="302"/>
      <c r="D11" s="395" t="s">
        <v>98</v>
      </c>
      <c r="E11" s="394"/>
      <c r="F11" s="394"/>
      <c r="G11" s="393"/>
      <c r="H11" s="392" t="s">
        <v>97</v>
      </c>
      <c r="I11" s="392" t="s">
        <v>96</v>
      </c>
      <c r="J11" s="395" t="s">
        <v>98</v>
      </c>
      <c r="K11" s="394"/>
      <c r="L11" s="394"/>
      <c r="M11" s="393"/>
      <c r="N11" s="392" t="s">
        <v>97</v>
      </c>
      <c r="O11" s="392" t="s">
        <v>96</v>
      </c>
      <c r="P11" s="395" t="s">
        <v>98</v>
      </c>
      <c r="Q11" s="394"/>
      <c r="R11" s="394"/>
      <c r="S11" s="393"/>
      <c r="T11" s="392" t="s">
        <v>97</v>
      </c>
      <c r="U11" s="392" t="s">
        <v>96</v>
      </c>
      <c r="V11" s="395" t="s">
        <v>98</v>
      </c>
      <c r="W11" s="394"/>
      <c r="X11" s="394"/>
      <c r="Y11" s="393"/>
      <c r="Z11" s="392" t="s">
        <v>97</v>
      </c>
      <c r="AA11" s="392" t="s">
        <v>96</v>
      </c>
      <c r="AB11" s="379"/>
      <c r="AC11" s="178"/>
      <c r="AD11" s="178"/>
    </row>
    <row r="12" spans="1:30" ht="15.75" customHeight="1" thickBot="1" x14ac:dyDescent="0.3">
      <c r="A12" s="180"/>
      <c r="B12" s="391"/>
      <c r="C12" s="390"/>
      <c r="D12" s="389" t="s">
        <v>92</v>
      </c>
      <c r="E12" s="388"/>
      <c r="F12" s="388"/>
      <c r="G12" s="388"/>
      <c r="H12" s="388"/>
      <c r="I12" s="387"/>
      <c r="J12" s="389" t="s">
        <v>92</v>
      </c>
      <c r="K12" s="388"/>
      <c r="L12" s="388"/>
      <c r="M12" s="388"/>
      <c r="N12" s="388"/>
      <c r="O12" s="387"/>
      <c r="P12" s="389" t="s">
        <v>92</v>
      </c>
      <c r="Q12" s="388"/>
      <c r="R12" s="388"/>
      <c r="S12" s="388"/>
      <c r="T12" s="388"/>
      <c r="U12" s="387"/>
      <c r="V12" s="389" t="s">
        <v>92</v>
      </c>
      <c r="W12" s="388"/>
      <c r="X12" s="388"/>
      <c r="Y12" s="388"/>
      <c r="Z12" s="388"/>
      <c r="AA12" s="387"/>
      <c r="AB12" s="379"/>
      <c r="AC12" s="178"/>
      <c r="AD12" s="178"/>
    </row>
    <row r="13" spans="1:30" ht="15.75" customHeight="1" thickBot="1" x14ac:dyDescent="0.3">
      <c r="A13" s="180"/>
      <c r="B13" s="386"/>
      <c r="C13" s="385"/>
      <c r="D13" s="384" t="s">
        <v>95</v>
      </c>
      <c r="E13" s="383"/>
      <c r="F13" s="383"/>
      <c r="G13" s="382" t="s">
        <v>94</v>
      </c>
      <c r="H13" s="381" t="s">
        <v>93</v>
      </c>
      <c r="I13" s="380" t="s">
        <v>92</v>
      </c>
      <c r="J13" s="384" t="s">
        <v>95</v>
      </c>
      <c r="K13" s="383"/>
      <c r="L13" s="383"/>
      <c r="M13" s="382" t="s">
        <v>94</v>
      </c>
      <c r="N13" s="381" t="s">
        <v>93</v>
      </c>
      <c r="O13" s="380" t="s">
        <v>92</v>
      </c>
      <c r="P13" s="384" t="s">
        <v>95</v>
      </c>
      <c r="Q13" s="383"/>
      <c r="R13" s="383"/>
      <c r="S13" s="382" t="s">
        <v>94</v>
      </c>
      <c r="T13" s="381" t="s">
        <v>93</v>
      </c>
      <c r="U13" s="380" t="s">
        <v>92</v>
      </c>
      <c r="V13" s="384" t="s">
        <v>95</v>
      </c>
      <c r="W13" s="383"/>
      <c r="X13" s="383"/>
      <c r="Y13" s="382" t="s">
        <v>94</v>
      </c>
      <c r="Z13" s="381" t="s">
        <v>93</v>
      </c>
      <c r="AA13" s="380" t="s">
        <v>92</v>
      </c>
      <c r="AB13" s="379"/>
      <c r="AC13" s="178"/>
      <c r="AD13" s="178"/>
    </row>
    <row r="14" spans="1:30" ht="15.75" thickBot="1" x14ac:dyDescent="0.3">
      <c r="A14" s="180"/>
      <c r="B14" s="378"/>
      <c r="C14" s="377"/>
      <c r="D14" s="376" t="s">
        <v>91</v>
      </c>
      <c r="E14" s="375" t="s">
        <v>90</v>
      </c>
      <c r="F14" s="375" t="s">
        <v>89</v>
      </c>
      <c r="G14" s="374"/>
      <c r="H14" s="373"/>
      <c r="I14" s="372"/>
      <c r="J14" s="376" t="s">
        <v>91</v>
      </c>
      <c r="K14" s="375" t="s">
        <v>90</v>
      </c>
      <c r="L14" s="375" t="s">
        <v>89</v>
      </c>
      <c r="M14" s="374"/>
      <c r="N14" s="373"/>
      <c r="O14" s="372"/>
      <c r="P14" s="376" t="s">
        <v>91</v>
      </c>
      <c r="Q14" s="375" t="s">
        <v>90</v>
      </c>
      <c r="R14" s="375" t="s">
        <v>89</v>
      </c>
      <c r="S14" s="374"/>
      <c r="T14" s="373"/>
      <c r="U14" s="372"/>
      <c r="V14" s="376" t="s">
        <v>91</v>
      </c>
      <c r="W14" s="375" t="s">
        <v>90</v>
      </c>
      <c r="X14" s="375" t="s">
        <v>89</v>
      </c>
      <c r="Y14" s="374"/>
      <c r="Z14" s="373"/>
      <c r="AA14" s="372"/>
      <c r="AB14" s="371"/>
      <c r="AC14" s="178"/>
      <c r="AD14" s="178"/>
    </row>
    <row r="15" spans="1:30" x14ac:dyDescent="0.25">
      <c r="A15" s="180"/>
      <c r="B15" s="294" t="s">
        <v>88</v>
      </c>
      <c r="C15" s="370" t="s">
        <v>87</v>
      </c>
      <c r="D15" s="369"/>
      <c r="E15" s="368"/>
      <c r="F15" s="367">
        <v>529.70000000000005</v>
      </c>
      <c r="G15" s="366">
        <f>SUM(D15:F15)</f>
        <v>529.70000000000005</v>
      </c>
      <c r="H15" s="352">
        <v>19.899999999999999</v>
      </c>
      <c r="I15" s="266">
        <f>G15+H15</f>
        <v>549.6</v>
      </c>
      <c r="J15" s="369"/>
      <c r="K15" s="368"/>
      <c r="L15" s="367">
        <v>1250</v>
      </c>
      <c r="M15" s="366">
        <f>SUM(J15:L15)</f>
        <v>1250</v>
      </c>
      <c r="N15" s="352"/>
      <c r="O15" s="266">
        <f>M15+N15</f>
        <v>1250</v>
      </c>
      <c r="P15" s="369"/>
      <c r="Q15" s="368"/>
      <c r="R15" s="367">
        <v>315.5</v>
      </c>
      <c r="S15" s="366">
        <f>SUM(P15:R15)</f>
        <v>315.5</v>
      </c>
      <c r="T15" s="352">
        <v>0</v>
      </c>
      <c r="U15" s="266">
        <f>S15+T15</f>
        <v>315.5</v>
      </c>
      <c r="V15" s="369"/>
      <c r="W15" s="368"/>
      <c r="X15" s="367">
        <v>1250</v>
      </c>
      <c r="Y15" s="366">
        <f>SUM(V15:X15)</f>
        <v>1250</v>
      </c>
      <c r="Z15" s="352"/>
      <c r="AA15" s="266">
        <f>Y15+Z15</f>
        <v>1250</v>
      </c>
      <c r="AB15" s="232">
        <f>(AA15/O15)</f>
        <v>1</v>
      </c>
      <c r="AC15" s="178"/>
      <c r="AD15" s="178"/>
    </row>
    <row r="16" spans="1:30" x14ac:dyDescent="0.25">
      <c r="A16" s="180"/>
      <c r="B16" s="274" t="s">
        <v>86</v>
      </c>
      <c r="C16" s="361" t="s">
        <v>85</v>
      </c>
      <c r="D16" s="360">
        <v>5310</v>
      </c>
      <c r="E16" s="343"/>
      <c r="F16" s="343"/>
      <c r="G16" s="341">
        <f>SUM(D16:F16)</f>
        <v>5310</v>
      </c>
      <c r="H16" s="358"/>
      <c r="I16" s="266">
        <f>G16+H16</f>
        <v>5310</v>
      </c>
      <c r="J16" s="360">
        <v>4940</v>
      </c>
      <c r="K16" s="343"/>
      <c r="L16" s="343"/>
      <c r="M16" s="341">
        <f>SUM(J16:L16)</f>
        <v>4940</v>
      </c>
      <c r="N16" s="358"/>
      <c r="O16" s="266">
        <f>M16+N16</f>
        <v>4940</v>
      </c>
      <c r="P16" s="360">
        <v>2098.9</v>
      </c>
      <c r="Q16" s="343"/>
      <c r="R16" s="343"/>
      <c r="S16" s="341">
        <f>SUM(P16:R16)</f>
        <v>2098.9</v>
      </c>
      <c r="T16" s="358"/>
      <c r="U16" s="266">
        <f>S16+T16</f>
        <v>2098.9</v>
      </c>
      <c r="V16" s="360">
        <v>5350</v>
      </c>
      <c r="W16" s="343"/>
      <c r="X16" s="343"/>
      <c r="Y16" s="341">
        <f>SUM(V16:X16)</f>
        <v>5350</v>
      </c>
      <c r="Z16" s="358"/>
      <c r="AA16" s="266">
        <f>Y16+Z16</f>
        <v>5350</v>
      </c>
      <c r="AB16" s="232">
        <f>(AA16/O16)</f>
        <v>1.082995951417004</v>
      </c>
      <c r="AC16" s="178"/>
      <c r="AD16" s="178"/>
    </row>
    <row r="17" spans="1:30" x14ac:dyDescent="0.25">
      <c r="A17" s="180"/>
      <c r="B17" s="274" t="s">
        <v>84</v>
      </c>
      <c r="C17" s="357" t="s">
        <v>83</v>
      </c>
      <c r="D17" s="356">
        <v>652.4</v>
      </c>
      <c r="E17" s="350"/>
      <c r="F17" s="350"/>
      <c r="G17" s="341">
        <f>SUM(D17:F17)</f>
        <v>652.4</v>
      </c>
      <c r="H17" s="355"/>
      <c r="I17" s="266">
        <f>G17+H17</f>
        <v>652.4</v>
      </c>
      <c r="J17" s="356">
        <v>719.5</v>
      </c>
      <c r="K17" s="350"/>
      <c r="L17" s="350"/>
      <c r="M17" s="341">
        <f>SUM(J17:L17)</f>
        <v>719.5</v>
      </c>
      <c r="N17" s="355"/>
      <c r="O17" s="266">
        <f>M17+N17</f>
        <v>719.5</v>
      </c>
      <c r="P17" s="356">
        <v>237.02</v>
      </c>
      <c r="Q17" s="350"/>
      <c r="R17" s="350"/>
      <c r="S17" s="341">
        <f>SUM(P17:R17)</f>
        <v>237.02</v>
      </c>
      <c r="T17" s="355"/>
      <c r="U17" s="266">
        <f>S17+T17</f>
        <v>237.02</v>
      </c>
      <c r="V17" s="356">
        <v>452.3</v>
      </c>
      <c r="W17" s="350"/>
      <c r="X17" s="350"/>
      <c r="Y17" s="341">
        <f>SUM(V17:X17)</f>
        <v>452.3</v>
      </c>
      <c r="Z17" s="355"/>
      <c r="AA17" s="266">
        <f>Y17+Z17</f>
        <v>452.3</v>
      </c>
      <c r="AB17" s="232">
        <f>(AA17/O17)</f>
        <v>0.62863099374565667</v>
      </c>
      <c r="AC17" s="178"/>
      <c r="AD17" s="178"/>
    </row>
    <row r="18" spans="1:30" x14ac:dyDescent="0.25">
      <c r="A18" s="180"/>
      <c r="B18" s="274" t="s">
        <v>82</v>
      </c>
      <c r="C18" s="354" t="s">
        <v>81</v>
      </c>
      <c r="D18" s="344"/>
      <c r="E18" s="353">
        <v>36660.400000000001</v>
      </c>
      <c r="F18" s="350"/>
      <c r="G18" s="341">
        <f>SUM(D18:F18)</f>
        <v>36660.400000000001</v>
      </c>
      <c r="H18" s="352"/>
      <c r="I18" s="266">
        <f>G18+H18</f>
        <v>36660.400000000001</v>
      </c>
      <c r="J18" s="344"/>
      <c r="K18" s="353">
        <v>38207.4</v>
      </c>
      <c r="L18" s="350"/>
      <c r="M18" s="341">
        <f>SUM(J18:L18)</f>
        <v>38207.4</v>
      </c>
      <c r="N18" s="352"/>
      <c r="O18" s="266">
        <f>M18+N18</f>
        <v>38207.4</v>
      </c>
      <c r="P18" s="344"/>
      <c r="Q18" s="353">
        <v>18140.7</v>
      </c>
      <c r="R18" s="350"/>
      <c r="S18" s="341">
        <f>SUM(P18:R18)</f>
        <v>18140.7</v>
      </c>
      <c r="T18" s="352"/>
      <c r="U18" s="266">
        <f>S18+T18</f>
        <v>18140.7</v>
      </c>
      <c r="V18" s="344"/>
      <c r="W18" s="353">
        <v>39355.5</v>
      </c>
      <c r="X18" s="350"/>
      <c r="Y18" s="341">
        <f>SUM(V18:X18)</f>
        <v>39355.5</v>
      </c>
      <c r="Z18" s="352"/>
      <c r="AA18" s="266">
        <f>Y18+Z18</f>
        <v>39355.5</v>
      </c>
      <c r="AB18" s="232">
        <f>(AA18/O18)</f>
        <v>1.0300491527819218</v>
      </c>
      <c r="AC18" s="178"/>
      <c r="AD18" s="178"/>
    </row>
    <row r="19" spans="1:30" x14ac:dyDescent="0.25">
      <c r="A19" s="180"/>
      <c r="B19" s="274" t="s">
        <v>80</v>
      </c>
      <c r="C19" s="280" t="s">
        <v>79</v>
      </c>
      <c r="D19" s="351"/>
      <c r="E19" s="350"/>
      <c r="F19" s="347">
        <v>249.8</v>
      </c>
      <c r="G19" s="341">
        <f>SUM(D19:F19)</f>
        <v>249.8</v>
      </c>
      <c r="H19" s="345"/>
      <c r="I19" s="266">
        <f>G19+H19</f>
        <v>249.8</v>
      </c>
      <c r="J19" s="351">
        <v>550.29999999999995</v>
      </c>
      <c r="K19" s="350"/>
      <c r="L19" s="347"/>
      <c r="M19" s="341">
        <f>SUM(J19:L19)</f>
        <v>550.29999999999995</v>
      </c>
      <c r="N19" s="345"/>
      <c r="O19" s="266">
        <f>M19+N19</f>
        <v>550.29999999999995</v>
      </c>
      <c r="P19" s="351">
        <v>275.2</v>
      </c>
      <c r="Q19" s="350"/>
      <c r="R19" s="347"/>
      <c r="S19" s="341">
        <f>SUM(P19:R19)</f>
        <v>275.2</v>
      </c>
      <c r="T19" s="345"/>
      <c r="U19" s="266">
        <f>S19+T19</f>
        <v>275.2</v>
      </c>
      <c r="V19" s="351"/>
      <c r="W19" s="350"/>
      <c r="X19" s="347">
        <v>550.29999999999995</v>
      </c>
      <c r="Y19" s="341">
        <f>SUM(V19:X19)</f>
        <v>550.29999999999995</v>
      </c>
      <c r="Z19" s="345"/>
      <c r="AA19" s="266">
        <f>Y19+Z19</f>
        <v>550.29999999999995</v>
      </c>
      <c r="AB19" s="232">
        <f>(AA19/O19)</f>
        <v>1</v>
      </c>
      <c r="AC19" s="178"/>
      <c r="AD19" s="178"/>
    </row>
    <row r="20" spans="1:30" x14ac:dyDescent="0.25">
      <c r="A20" s="180"/>
      <c r="B20" s="274" t="s">
        <v>78</v>
      </c>
      <c r="C20" s="346" t="s">
        <v>77</v>
      </c>
      <c r="D20" s="344"/>
      <c r="E20" s="343"/>
      <c r="F20" s="342">
        <v>755.6</v>
      </c>
      <c r="G20" s="341">
        <v>755.6</v>
      </c>
      <c r="H20" s="345"/>
      <c r="I20" s="266">
        <v>755.6</v>
      </c>
      <c r="J20" s="344"/>
      <c r="K20" s="343"/>
      <c r="L20" s="342"/>
      <c r="M20" s="341">
        <f>SUM(J20:L20)</f>
        <v>0</v>
      </c>
      <c r="N20" s="345"/>
      <c r="O20" s="266">
        <f>M20+N20</f>
        <v>0</v>
      </c>
      <c r="P20" s="344"/>
      <c r="Q20" s="343"/>
      <c r="R20" s="342"/>
      <c r="S20" s="341">
        <f>SUM(P20:R20)</f>
        <v>0</v>
      </c>
      <c r="T20" s="345"/>
      <c r="U20" s="266">
        <f>S20+T20</f>
        <v>0</v>
      </c>
      <c r="V20" s="344"/>
      <c r="W20" s="343"/>
      <c r="X20" s="342"/>
      <c r="Y20" s="341">
        <f>SUM(V20:X20)</f>
        <v>0</v>
      </c>
      <c r="Z20" s="345"/>
      <c r="AA20" s="266">
        <f>Y20+Z20</f>
        <v>0</v>
      </c>
      <c r="AB20" s="232" t="e">
        <f>(AA20/O20)</f>
        <v>#DIV/0!</v>
      </c>
      <c r="AC20" s="178"/>
      <c r="AD20" s="178"/>
    </row>
    <row r="21" spans="1:30" x14ac:dyDescent="0.25">
      <c r="A21" s="180"/>
      <c r="B21" s="274" t="s">
        <v>76</v>
      </c>
      <c r="C21" s="273" t="s">
        <v>75</v>
      </c>
      <c r="D21" s="344"/>
      <c r="E21" s="343"/>
      <c r="F21" s="342">
        <v>68</v>
      </c>
      <c r="G21" s="341">
        <f>SUM(D21:F21)</f>
        <v>68</v>
      </c>
      <c r="H21" s="336">
        <v>73.5</v>
      </c>
      <c r="I21" s="266">
        <f>G21+H21</f>
        <v>141.5</v>
      </c>
      <c r="J21" s="344"/>
      <c r="K21" s="343"/>
      <c r="L21" s="342"/>
      <c r="M21" s="341">
        <f>SUM(J21:L21)</f>
        <v>0</v>
      </c>
      <c r="N21" s="336">
        <v>120</v>
      </c>
      <c r="O21" s="266">
        <f>M21+N21</f>
        <v>120</v>
      </c>
      <c r="P21" s="344"/>
      <c r="Q21" s="343">
        <v>234.8</v>
      </c>
      <c r="R21" s="342"/>
      <c r="S21" s="341">
        <f>SUM(P21:R21)</f>
        <v>234.8</v>
      </c>
      <c r="T21" s="336">
        <v>12.1</v>
      </c>
      <c r="U21" s="266">
        <f>S21+T21</f>
        <v>246.9</v>
      </c>
      <c r="V21" s="344"/>
      <c r="W21" s="343"/>
      <c r="X21" s="342"/>
      <c r="Y21" s="341">
        <f>SUM(V21:X21)</f>
        <v>0</v>
      </c>
      <c r="Z21" s="336">
        <v>120</v>
      </c>
      <c r="AA21" s="266">
        <f>Y21+Z21</f>
        <v>120</v>
      </c>
      <c r="AB21" s="232">
        <f>(AA21/O21)</f>
        <v>1</v>
      </c>
      <c r="AC21" s="178"/>
      <c r="AD21" s="178"/>
    </row>
    <row r="22" spans="1:30" x14ac:dyDescent="0.25">
      <c r="A22" s="180"/>
      <c r="B22" s="274" t="s">
        <v>74</v>
      </c>
      <c r="C22" s="273" t="s">
        <v>73</v>
      </c>
      <c r="D22" s="344"/>
      <c r="E22" s="343"/>
      <c r="F22" s="342"/>
      <c r="G22" s="341">
        <f>SUM(D22:F22)</f>
        <v>0</v>
      </c>
      <c r="H22" s="336">
        <v>73.5</v>
      </c>
      <c r="I22" s="266">
        <f>G22+H22</f>
        <v>73.5</v>
      </c>
      <c r="J22" s="344"/>
      <c r="K22" s="343"/>
      <c r="L22" s="342"/>
      <c r="M22" s="341">
        <f>SUM(J22:L22)</f>
        <v>0</v>
      </c>
      <c r="N22" s="336">
        <v>120</v>
      </c>
      <c r="O22" s="266">
        <f>M22+N22</f>
        <v>120</v>
      </c>
      <c r="P22" s="344"/>
      <c r="Q22" s="343"/>
      <c r="R22" s="342"/>
      <c r="S22" s="341">
        <f>SUM(P22:R22)</f>
        <v>0</v>
      </c>
      <c r="T22" s="336">
        <v>12.1</v>
      </c>
      <c r="U22" s="266">
        <f>S22+T22</f>
        <v>12.1</v>
      </c>
      <c r="V22" s="344"/>
      <c r="W22" s="343"/>
      <c r="X22" s="342"/>
      <c r="Y22" s="341">
        <f>SUM(V22:X22)</f>
        <v>0</v>
      </c>
      <c r="Z22" s="336">
        <v>120</v>
      </c>
      <c r="AA22" s="266">
        <f>Y22+Z22</f>
        <v>120</v>
      </c>
      <c r="AB22" s="232">
        <f>(AA22/O22)</f>
        <v>1</v>
      </c>
      <c r="AC22" s="178"/>
      <c r="AD22" s="178"/>
    </row>
    <row r="23" spans="1:30" ht="15.75" thickBot="1" x14ac:dyDescent="0.3">
      <c r="A23" s="180"/>
      <c r="B23" s="335" t="s">
        <v>72</v>
      </c>
      <c r="C23" s="334" t="s">
        <v>71</v>
      </c>
      <c r="D23" s="333"/>
      <c r="E23" s="332"/>
      <c r="F23" s="331"/>
      <c r="G23" s="330">
        <f>SUM(D23:F23)</f>
        <v>0</v>
      </c>
      <c r="H23" s="325"/>
      <c r="I23" s="255">
        <f>G23+H23</f>
        <v>0</v>
      </c>
      <c r="J23" s="333"/>
      <c r="K23" s="332"/>
      <c r="L23" s="331"/>
      <c r="M23" s="330">
        <f>SUM(J23:L23)</f>
        <v>0</v>
      </c>
      <c r="N23" s="325"/>
      <c r="O23" s="255">
        <f>M23+N23</f>
        <v>0</v>
      </c>
      <c r="P23" s="333"/>
      <c r="Q23" s="332"/>
      <c r="R23" s="331"/>
      <c r="S23" s="330">
        <f>SUM(P23:R23)</f>
        <v>0</v>
      </c>
      <c r="T23" s="325"/>
      <c r="U23" s="255">
        <f>S23+T23</f>
        <v>0</v>
      </c>
      <c r="V23" s="333"/>
      <c r="W23" s="332"/>
      <c r="X23" s="331"/>
      <c r="Y23" s="330">
        <f>SUM(V23:X23)</f>
        <v>0</v>
      </c>
      <c r="Z23" s="325"/>
      <c r="AA23" s="255">
        <f>Y23+Z23</f>
        <v>0</v>
      </c>
      <c r="AB23" s="254" t="e">
        <f>(AA23/O23)</f>
        <v>#DIV/0!</v>
      </c>
      <c r="AC23" s="178"/>
      <c r="AD23" s="178"/>
    </row>
    <row r="24" spans="1:30" ht="15.75" thickBot="1" x14ac:dyDescent="0.3">
      <c r="A24" s="180"/>
      <c r="B24" s="253" t="s">
        <v>70</v>
      </c>
      <c r="C24" s="324" t="s">
        <v>69</v>
      </c>
      <c r="D24" s="323">
        <f>SUM(D15:D21)</f>
        <v>5962.4</v>
      </c>
      <c r="E24" s="322">
        <f>SUM(E15:E21)</f>
        <v>36660.400000000001</v>
      </c>
      <c r="F24" s="322">
        <f>SUM(F15:F21)</f>
        <v>1603.1</v>
      </c>
      <c r="G24" s="321">
        <f>SUM(D24:F24)</f>
        <v>44225.9</v>
      </c>
      <c r="H24" s="320">
        <f>SUM(H15:H21)</f>
        <v>93.4</v>
      </c>
      <c r="I24" s="320">
        <f>SUM(I15:I21)</f>
        <v>44319.3</v>
      </c>
      <c r="J24" s="323">
        <f>SUM(J15:J21)</f>
        <v>6209.8</v>
      </c>
      <c r="K24" s="322">
        <f>SUM(K15:K21)</f>
        <v>38207.4</v>
      </c>
      <c r="L24" s="322">
        <f>SUM(L15:L21)</f>
        <v>1250</v>
      </c>
      <c r="M24" s="321">
        <f>SUM(J24:L24)</f>
        <v>45667.200000000004</v>
      </c>
      <c r="N24" s="320">
        <f>SUM(N15:N21)</f>
        <v>120</v>
      </c>
      <c r="O24" s="320">
        <f>SUM(O15:O21)</f>
        <v>45787.200000000004</v>
      </c>
      <c r="P24" s="323">
        <f>SUM(P15:P21)</f>
        <v>2611.12</v>
      </c>
      <c r="Q24" s="322">
        <f>SUM(Q15:Q21)</f>
        <v>18375.5</v>
      </c>
      <c r="R24" s="322">
        <f>SUM(R15:R21)</f>
        <v>315.5</v>
      </c>
      <c r="S24" s="321">
        <f>SUM(P24:R24)</f>
        <v>21302.12</v>
      </c>
      <c r="T24" s="320">
        <f>SUM(T15:T21)</f>
        <v>12.1</v>
      </c>
      <c r="U24" s="320">
        <f>SUM(U15:U21)</f>
        <v>21314.220000000005</v>
      </c>
      <c r="V24" s="323">
        <f>SUM(V15:V21)</f>
        <v>5802.3</v>
      </c>
      <c r="W24" s="322">
        <f>SUM(W15:W21)</f>
        <v>39355.5</v>
      </c>
      <c r="X24" s="322">
        <f>SUM(X15:X21)</f>
        <v>1800.3</v>
      </c>
      <c r="Y24" s="321">
        <f>SUM(V24:X24)</f>
        <v>46958.100000000006</v>
      </c>
      <c r="Z24" s="320">
        <f>SUM(Z15:Z21)</f>
        <v>120</v>
      </c>
      <c r="AA24" s="320">
        <f>SUM(AA15:AA21)</f>
        <v>47078.100000000006</v>
      </c>
      <c r="AB24" s="319">
        <f>(AA24/O24)</f>
        <v>1.0281934689170773</v>
      </c>
      <c r="AC24" s="178"/>
      <c r="AD24" s="178"/>
    </row>
    <row r="25" spans="1:30" ht="15.75" customHeight="1" thickBot="1" x14ac:dyDescent="0.3">
      <c r="A25" s="180"/>
      <c r="B25" s="318"/>
      <c r="C25" s="317"/>
      <c r="D25" s="316" t="s">
        <v>62</v>
      </c>
      <c r="E25" s="315"/>
      <c r="F25" s="315"/>
      <c r="G25" s="314"/>
      <c r="H25" s="314"/>
      <c r="I25" s="313"/>
      <c r="J25" s="316" t="s">
        <v>62</v>
      </c>
      <c r="K25" s="315"/>
      <c r="L25" s="315"/>
      <c r="M25" s="314"/>
      <c r="N25" s="314"/>
      <c r="O25" s="313"/>
      <c r="P25" s="316" t="s">
        <v>62</v>
      </c>
      <c r="Q25" s="315"/>
      <c r="R25" s="315"/>
      <c r="S25" s="314"/>
      <c r="T25" s="314"/>
      <c r="U25" s="313"/>
      <c r="V25" s="316" t="s">
        <v>62</v>
      </c>
      <c r="W25" s="315"/>
      <c r="X25" s="315"/>
      <c r="Y25" s="314"/>
      <c r="Z25" s="314"/>
      <c r="AA25" s="313"/>
      <c r="AB25" s="312" t="s">
        <v>68</v>
      </c>
      <c r="AC25" s="178"/>
      <c r="AD25" s="178"/>
    </row>
    <row r="26" spans="1:30" ht="15.75" thickBot="1" x14ac:dyDescent="0.3">
      <c r="A26" s="180"/>
      <c r="B26" s="311" t="s">
        <v>67</v>
      </c>
      <c r="C26" s="310" t="s">
        <v>66</v>
      </c>
      <c r="D26" s="309" t="s">
        <v>113</v>
      </c>
      <c r="E26" s="308"/>
      <c r="F26" s="308"/>
      <c r="G26" s="307" t="s">
        <v>64</v>
      </c>
      <c r="H26" s="306" t="s">
        <v>63</v>
      </c>
      <c r="I26" s="305" t="s">
        <v>62</v>
      </c>
      <c r="J26" s="309" t="s">
        <v>113</v>
      </c>
      <c r="K26" s="308"/>
      <c r="L26" s="308"/>
      <c r="M26" s="307" t="s">
        <v>64</v>
      </c>
      <c r="N26" s="306" t="s">
        <v>63</v>
      </c>
      <c r="O26" s="305" t="s">
        <v>62</v>
      </c>
      <c r="P26" s="309" t="s">
        <v>113</v>
      </c>
      <c r="Q26" s="308"/>
      <c r="R26" s="308"/>
      <c r="S26" s="307" t="s">
        <v>64</v>
      </c>
      <c r="T26" s="306" t="s">
        <v>63</v>
      </c>
      <c r="U26" s="305" t="s">
        <v>62</v>
      </c>
      <c r="V26" s="309" t="s">
        <v>113</v>
      </c>
      <c r="W26" s="308"/>
      <c r="X26" s="308"/>
      <c r="Y26" s="307" t="s">
        <v>64</v>
      </c>
      <c r="Z26" s="306" t="s">
        <v>63</v>
      </c>
      <c r="AA26" s="305" t="s">
        <v>62</v>
      </c>
      <c r="AB26" s="304"/>
      <c r="AC26" s="178"/>
      <c r="AD26" s="178"/>
    </row>
    <row r="27" spans="1:30" ht="15.75" thickBot="1" x14ac:dyDescent="0.3">
      <c r="A27" s="180"/>
      <c r="B27" s="303"/>
      <c r="C27" s="302"/>
      <c r="D27" s="301" t="s">
        <v>61</v>
      </c>
      <c r="E27" s="300" t="s">
        <v>60</v>
      </c>
      <c r="F27" s="299" t="s">
        <v>59</v>
      </c>
      <c r="G27" s="298"/>
      <c r="H27" s="297"/>
      <c r="I27" s="296"/>
      <c r="J27" s="301" t="s">
        <v>61</v>
      </c>
      <c r="K27" s="300" t="s">
        <v>60</v>
      </c>
      <c r="L27" s="299" t="s">
        <v>59</v>
      </c>
      <c r="M27" s="298"/>
      <c r="N27" s="297"/>
      <c r="O27" s="296"/>
      <c r="P27" s="301" t="s">
        <v>61</v>
      </c>
      <c r="Q27" s="300" t="s">
        <v>60</v>
      </c>
      <c r="R27" s="299" t="s">
        <v>59</v>
      </c>
      <c r="S27" s="298"/>
      <c r="T27" s="297"/>
      <c r="U27" s="296"/>
      <c r="V27" s="301" t="s">
        <v>61</v>
      </c>
      <c r="W27" s="300" t="s">
        <v>60</v>
      </c>
      <c r="X27" s="299" t="s">
        <v>59</v>
      </c>
      <c r="Y27" s="298"/>
      <c r="Z27" s="297"/>
      <c r="AA27" s="296"/>
      <c r="AB27" s="295"/>
      <c r="AC27" s="178"/>
      <c r="AD27" s="178"/>
    </row>
    <row r="28" spans="1:30" x14ac:dyDescent="0.25">
      <c r="A28" s="180"/>
      <c r="B28" s="294" t="s">
        <v>58</v>
      </c>
      <c r="C28" s="293" t="s">
        <v>57</v>
      </c>
      <c r="D28" s="287">
        <v>658.5</v>
      </c>
      <c r="E28" s="287"/>
      <c r="F28" s="287"/>
      <c r="G28" s="286">
        <f>SUM(D28:F28)</f>
        <v>658.5</v>
      </c>
      <c r="H28" s="286"/>
      <c r="I28" s="285">
        <f>G28+H28</f>
        <v>658.5</v>
      </c>
      <c r="J28" s="288">
        <v>590</v>
      </c>
      <c r="K28" s="287"/>
      <c r="L28" s="287"/>
      <c r="M28" s="286">
        <f>SUM(J28:L28)</f>
        <v>590</v>
      </c>
      <c r="N28" s="286"/>
      <c r="O28" s="285">
        <f>M28+N28</f>
        <v>590</v>
      </c>
      <c r="P28" s="288">
        <v>154.69999999999999</v>
      </c>
      <c r="Q28" s="287"/>
      <c r="R28" s="287"/>
      <c r="S28" s="286">
        <f>SUM(P28:R28)</f>
        <v>154.69999999999999</v>
      </c>
      <c r="T28" s="286"/>
      <c r="U28" s="285">
        <f>S28+T28</f>
        <v>154.69999999999999</v>
      </c>
      <c r="V28" s="288">
        <v>740</v>
      </c>
      <c r="W28" s="287"/>
      <c r="X28" s="287"/>
      <c r="Y28" s="286">
        <f>SUM(V28:X28)</f>
        <v>740</v>
      </c>
      <c r="Z28" s="286"/>
      <c r="AA28" s="285">
        <f>Y28+Z28</f>
        <v>740</v>
      </c>
      <c r="AB28" s="232">
        <f>(AA28/O28)</f>
        <v>1.2542372881355932</v>
      </c>
      <c r="AC28" s="178"/>
      <c r="AD28" s="178"/>
    </row>
    <row r="29" spans="1:30" x14ac:dyDescent="0.25">
      <c r="A29" s="180"/>
      <c r="B29" s="274" t="s">
        <v>56</v>
      </c>
      <c r="C29" s="284" t="s">
        <v>55</v>
      </c>
      <c r="D29" s="282">
        <v>712.8</v>
      </c>
      <c r="E29" s="282">
        <v>424.4</v>
      </c>
      <c r="F29" s="282">
        <v>597.70000000000005</v>
      </c>
      <c r="G29" s="263">
        <f>SUM(D29:F29)</f>
        <v>1734.8999999999999</v>
      </c>
      <c r="H29" s="281">
        <v>18</v>
      </c>
      <c r="I29" s="266">
        <f>G29+H29</f>
        <v>1752.8999999999999</v>
      </c>
      <c r="J29" s="283">
        <v>420</v>
      </c>
      <c r="K29" s="282">
        <v>250</v>
      </c>
      <c r="L29" s="282">
        <v>1250</v>
      </c>
      <c r="M29" s="263">
        <f>SUM(J29:L29)</f>
        <v>1920</v>
      </c>
      <c r="N29" s="281"/>
      <c r="O29" s="266">
        <f>M29+N29</f>
        <v>1920</v>
      </c>
      <c r="P29" s="283">
        <v>113.1</v>
      </c>
      <c r="Q29" s="282">
        <v>281.5</v>
      </c>
      <c r="R29" s="282">
        <v>315.5</v>
      </c>
      <c r="S29" s="263">
        <f>SUM(P29:R29)</f>
        <v>710.1</v>
      </c>
      <c r="T29" s="281"/>
      <c r="U29" s="266">
        <f>S29+T29</f>
        <v>710.1</v>
      </c>
      <c r="V29" s="283">
        <v>435.8</v>
      </c>
      <c r="W29" s="282">
        <v>278</v>
      </c>
      <c r="X29" s="282">
        <v>1250</v>
      </c>
      <c r="Y29" s="263">
        <f>SUM(V29:X29)</f>
        <v>1963.8</v>
      </c>
      <c r="Z29" s="281"/>
      <c r="AA29" s="266">
        <f>Y29+Z29</f>
        <v>1963.8</v>
      </c>
      <c r="AB29" s="232">
        <f>(AA29/O29)</f>
        <v>1.0228124999999999</v>
      </c>
      <c r="AC29" s="178"/>
      <c r="AD29" s="178"/>
    </row>
    <row r="30" spans="1:30" x14ac:dyDescent="0.25">
      <c r="A30" s="180"/>
      <c r="B30" s="274" t="s">
        <v>54</v>
      </c>
      <c r="C30" s="273" t="s">
        <v>53</v>
      </c>
      <c r="D30" s="267">
        <v>1555.5</v>
      </c>
      <c r="E30" s="267"/>
      <c r="F30" s="267" t="s">
        <v>52</v>
      </c>
      <c r="G30" s="263">
        <f>SUM(D30:F30)</f>
        <v>1555.5</v>
      </c>
      <c r="H30" s="263">
        <v>10.4</v>
      </c>
      <c r="I30" s="266">
        <f>G30+H30</f>
        <v>1565.9</v>
      </c>
      <c r="J30" s="268">
        <v>1875</v>
      </c>
      <c r="K30" s="267"/>
      <c r="L30" s="267"/>
      <c r="M30" s="263">
        <f>SUM(J30:L30)</f>
        <v>1875</v>
      </c>
      <c r="N30" s="263">
        <v>120</v>
      </c>
      <c r="O30" s="266">
        <f>M30+N30</f>
        <v>1995</v>
      </c>
      <c r="P30" s="268">
        <v>901.4</v>
      </c>
      <c r="Q30" s="267"/>
      <c r="R30" s="267"/>
      <c r="S30" s="263">
        <f>SUM(P30:R30)</f>
        <v>901.4</v>
      </c>
      <c r="T30" s="263"/>
      <c r="U30" s="266">
        <f>S30+T30</f>
        <v>901.4</v>
      </c>
      <c r="V30" s="268">
        <v>2090</v>
      </c>
      <c r="W30" s="267"/>
      <c r="X30" s="267"/>
      <c r="Y30" s="263">
        <f>SUM(V30:X30)</f>
        <v>2090</v>
      </c>
      <c r="Z30" s="263">
        <v>120</v>
      </c>
      <c r="AA30" s="266">
        <f>Y30+Z30</f>
        <v>2210</v>
      </c>
      <c r="AB30" s="232">
        <f>(AA30/O30)</f>
        <v>1.1077694235588973</v>
      </c>
      <c r="AC30" s="178"/>
      <c r="AD30" s="178"/>
    </row>
    <row r="31" spans="1:30" x14ac:dyDescent="0.25">
      <c r="A31" s="180"/>
      <c r="B31" s="274" t="s">
        <v>51</v>
      </c>
      <c r="C31" s="273" t="s">
        <v>50</v>
      </c>
      <c r="D31" s="267">
        <v>979.6</v>
      </c>
      <c r="E31" s="267"/>
      <c r="F31" s="267"/>
      <c r="G31" s="263">
        <f>SUM(D31:F31)</f>
        <v>979.6</v>
      </c>
      <c r="H31" s="263"/>
      <c r="I31" s="266">
        <f>G31+H31</f>
        <v>979.6</v>
      </c>
      <c r="J31" s="268">
        <v>975</v>
      </c>
      <c r="K31" s="267"/>
      <c r="L31" s="267"/>
      <c r="M31" s="263">
        <f>SUM(J31:L31)</f>
        <v>975</v>
      </c>
      <c r="N31" s="263"/>
      <c r="O31" s="266">
        <f>M31+N31</f>
        <v>975</v>
      </c>
      <c r="P31" s="268">
        <v>335</v>
      </c>
      <c r="Q31" s="267">
        <v>6</v>
      </c>
      <c r="R31" s="267"/>
      <c r="S31" s="263">
        <f>SUM(P31:R31)</f>
        <v>341</v>
      </c>
      <c r="T31" s="263"/>
      <c r="U31" s="266">
        <f>S31+T31</f>
        <v>341</v>
      </c>
      <c r="V31" s="268">
        <v>989.2</v>
      </c>
      <c r="W31" s="267"/>
      <c r="X31" s="267"/>
      <c r="Y31" s="263">
        <f>SUM(V31:X31)</f>
        <v>989.2</v>
      </c>
      <c r="Z31" s="263"/>
      <c r="AA31" s="266">
        <f>Y31+Z31</f>
        <v>989.2</v>
      </c>
      <c r="AB31" s="232">
        <f>(AA31/O31)</f>
        <v>1.0145641025641026</v>
      </c>
      <c r="AC31" s="178"/>
      <c r="AD31" s="178"/>
    </row>
    <row r="32" spans="1:30" x14ac:dyDescent="0.25">
      <c r="A32" s="180"/>
      <c r="B32" s="274" t="s">
        <v>49</v>
      </c>
      <c r="C32" s="273" t="s">
        <v>48</v>
      </c>
      <c r="D32" s="277">
        <v>575</v>
      </c>
      <c r="E32" s="267">
        <v>26157.4</v>
      </c>
      <c r="F32" s="267">
        <v>572.70000000000005</v>
      </c>
      <c r="G32" s="263">
        <f>SUM(D32:F32)</f>
        <v>27305.100000000002</v>
      </c>
      <c r="H32" s="263"/>
      <c r="I32" s="266">
        <f>G32+H32</f>
        <v>27305.100000000002</v>
      </c>
      <c r="J32" s="275">
        <v>641.29999999999995</v>
      </c>
      <c r="K32" s="267">
        <v>27714</v>
      </c>
      <c r="L32" s="267"/>
      <c r="M32" s="263">
        <f>SUM(J32:L32)</f>
        <v>28355.3</v>
      </c>
      <c r="N32" s="263"/>
      <c r="O32" s="266">
        <f>M32+N32</f>
        <v>28355.3</v>
      </c>
      <c r="P32" s="275">
        <v>204.7</v>
      </c>
      <c r="Q32" s="267">
        <v>13342.1</v>
      </c>
      <c r="R32" s="267"/>
      <c r="S32" s="263">
        <f>SUM(P32:R32)</f>
        <v>13546.800000000001</v>
      </c>
      <c r="T32" s="263"/>
      <c r="U32" s="266">
        <f>S32+T32</f>
        <v>13546.800000000001</v>
      </c>
      <c r="V32" s="275">
        <v>448.8</v>
      </c>
      <c r="W32" s="267">
        <v>28583.1</v>
      </c>
      <c r="X32" s="267"/>
      <c r="Y32" s="263">
        <f>SUM(V32:X32)</f>
        <v>29031.899999999998</v>
      </c>
      <c r="Z32" s="263"/>
      <c r="AA32" s="266">
        <f>Y32+Z32</f>
        <v>29031.899999999998</v>
      </c>
      <c r="AB32" s="232">
        <f>(AA32/O32)</f>
        <v>1.0238615003191642</v>
      </c>
      <c r="AC32" s="178"/>
      <c r="AD32" s="178"/>
    </row>
    <row r="33" spans="1:30" x14ac:dyDescent="0.25">
      <c r="A33" s="180"/>
      <c r="B33" s="274" t="s">
        <v>47</v>
      </c>
      <c r="C33" s="280" t="s">
        <v>46</v>
      </c>
      <c r="D33" s="277">
        <v>437.8</v>
      </c>
      <c r="E33" s="267">
        <v>25919.3</v>
      </c>
      <c r="F33" s="267">
        <v>563.5</v>
      </c>
      <c r="G33" s="263">
        <f>SUM(D33:F33)</f>
        <v>26920.6</v>
      </c>
      <c r="H33" s="263"/>
      <c r="I33" s="266">
        <f>G33+H33</f>
        <v>26920.6</v>
      </c>
      <c r="J33" s="275">
        <v>461.3</v>
      </c>
      <c r="K33" s="267">
        <v>27664</v>
      </c>
      <c r="L33" s="267"/>
      <c r="M33" s="263">
        <f>SUM(J33:L33)</f>
        <v>28125.3</v>
      </c>
      <c r="N33" s="263"/>
      <c r="O33" s="266">
        <f>M33+N33</f>
        <v>28125.3</v>
      </c>
      <c r="P33" s="275">
        <v>166.9</v>
      </c>
      <c r="Q33" s="267">
        <v>13163.9</v>
      </c>
      <c r="R33" s="267"/>
      <c r="S33" s="263">
        <f>SUM(P33:R33)</f>
        <v>13330.8</v>
      </c>
      <c r="T33" s="263"/>
      <c r="U33" s="266">
        <f>S33+T33</f>
        <v>13330.8</v>
      </c>
      <c r="V33" s="275">
        <v>268.8</v>
      </c>
      <c r="W33" s="267">
        <v>28365.1</v>
      </c>
      <c r="X33" s="267"/>
      <c r="Y33" s="263">
        <f>SUM(V33:X33)</f>
        <v>28633.899999999998</v>
      </c>
      <c r="Z33" s="263"/>
      <c r="AA33" s="266">
        <f>Y33+Z33</f>
        <v>28633.899999999998</v>
      </c>
      <c r="AB33" s="232">
        <f>(AA33/O33)</f>
        <v>1.0180833626663537</v>
      </c>
      <c r="AC33" s="178"/>
      <c r="AD33" s="178"/>
    </row>
    <row r="34" spans="1:30" x14ac:dyDescent="0.25">
      <c r="A34" s="180"/>
      <c r="B34" s="274" t="s">
        <v>45</v>
      </c>
      <c r="C34" s="278" t="s">
        <v>44</v>
      </c>
      <c r="D34" s="277">
        <v>137.19999999999999</v>
      </c>
      <c r="E34" s="267">
        <v>238.1</v>
      </c>
      <c r="F34" s="267">
        <v>9.1999999999999993</v>
      </c>
      <c r="G34" s="263">
        <f>SUM(D34:F34)</f>
        <v>384.49999999999994</v>
      </c>
      <c r="H34" s="263"/>
      <c r="I34" s="266">
        <f>G34+H34</f>
        <v>384.49999999999994</v>
      </c>
      <c r="J34" s="275">
        <v>180</v>
      </c>
      <c r="K34" s="267">
        <v>50</v>
      </c>
      <c r="L34" s="267"/>
      <c r="M34" s="263">
        <f>SUM(J34:L34)</f>
        <v>230</v>
      </c>
      <c r="N34" s="263"/>
      <c r="O34" s="266">
        <f>M34+N34</f>
        <v>230</v>
      </c>
      <c r="P34" s="275">
        <v>37.799999999999997</v>
      </c>
      <c r="Q34" s="267">
        <v>178.2</v>
      </c>
      <c r="R34" s="267"/>
      <c r="S34" s="263">
        <f>SUM(P34:R34)</f>
        <v>216</v>
      </c>
      <c r="T34" s="263"/>
      <c r="U34" s="266">
        <f>S34+T34</f>
        <v>216</v>
      </c>
      <c r="V34" s="275">
        <v>180</v>
      </c>
      <c r="W34" s="267">
        <v>218</v>
      </c>
      <c r="X34" s="267"/>
      <c r="Y34" s="263">
        <f>SUM(V34:X34)</f>
        <v>398</v>
      </c>
      <c r="Z34" s="263"/>
      <c r="AA34" s="266">
        <f>Y34+Z34</f>
        <v>398</v>
      </c>
      <c r="AB34" s="232">
        <f>(AA34/O34)</f>
        <v>1.7304347826086957</v>
      </c>
      <c r="AC34" s="178"/>
      <c r="AD34" s="178"/>
    </row>
    <row r="35" spans="1:30" x14ac:dyDescent="0.25">
      <c r="A35" s="180"/>
      <c r="B35" s="274" t="s">
        <v>43</v>
      </c>
      <c r="C35" s="273" t="s">
        <v>42</v>
      </c>
      <c r="D35" s="277">
        <v>148</v>
      </c>
      <c r="E35" s="267">
        <v>8741</v>
      </c>
      <c r="F35" s="267">
        <v>172.7</v>
      </c>
      <c r="G35" s="263">
        <f>SUM(D35:F35)</f>
        <v>9061.7000000000007</v>
      </c>
      <c r="H35" s="263"/>
      <c r="I35" s="266">
        <f>G35+H35</f>
        <v>9061.7000000000007</v>
      </c>
      <c r="J35" s="275">
        <v>155.9</v>
      </c>
      <c r="K35" s="267">
        <v>9853.7000000000007</v>
      </c>
      <c r="L35" s="267"/>
      <c r="M35" s="263">
        <f>SUM(J35:L35)</f>
        <v>10009.6</v>
      </c>
      <c r="N35" s="263"/>
      <c r="O35" s="266">
        <f>M35+N35</f>
        <v>10009.6</v>
      </c>
      <c r="P35" s="275">
        <v>59.8</v>
      </c>
      <c r="Q35" s="267">
        <v>4677.2</v>
      </c>
      <c r="R35" s="267"/>
      <c r="S35" s="263">
        <f>SUM(P35:R35)</f>
        <v>4737</v>
      </c>
      <c r="T35" s="263"/>
      <c r="U35" s="266">
        <f>S35+T35</f>
        <v>4737</v>
      </c>
      <c r="V35" s="275">
        <v>96.2</v>
      </c>
      <c r="W35" s="267">
        <v>10104.700000000001</v>
      </c>
      <c r="X35" s="267"/>
      <c r="Y35" s="263">
        <f>SUM(V35:X35)</f>
        <v>10200.900000000001</v>
      </c>
      <c r="Z35" s="263"/>
      <c r="AA35" s="266">
        <f>Y35+Z35</f>
        <v>10200.900000000001</v>
      </c>
      <c r="AB35" s="232">
        <f>(AA35/O35)</f>
        <v>1.0191116528132993</v>
      </c>
      <c r="AC35" s="178"/>
      <c r="AD35" s="178"/>
    </row>
    <row r="36" spans="1:30" x14ac:dyDescent="0.25">
      <c r="A36" s="180"/>
      <c r="B36" s="274" t="s">
        <v>41</v>
      </c>
      <c r="C36" s="273" t="s">
        <v>40</v>
      </c>
      <c r="D36" s="267" t="s">
        <v>52</v>
      </c>
      <c r="E36" s="267"/>
      <c r="F36" s="267"/>
      <c r="G36" s="263">
        <f>SUM(D36:F36)</f>
        <v>0</v>
      </c>
      <c r="H36" s="263"/>
      <c r="I36" s="266">
        <f>G36+H36</f>
        <v>0</v>
      </c>
      <c r="J36" s="268"/>
      <c r="K36" s="267"/>
      <c r="L36" s="267"/>
      <c r="M36" s="263">
        <f>SUM(J36:L36)</f>
        <v>0</v>
      </c>
      <c r="N36" s="263"/>
      <c r="O36" s="266">
        <f>M36+N36</f>
        <v>0</v>
      </c>
      <c r="P36" s="268"/>
      <c r="Q36" s="267"/>
      <c r="R36" s="267"/>
      <c r="S36" s="263">
        <f>SUM(P36:R36)</f>
        <v>0</v>
      </c>
      <c r="T36" s="263"/>
      <c r="U36" s="266">
        <f>S36+T36</f>
        <v>0</v>
      </c>
      <c r="V36" s="268"/>
      <c r="W36" s="267"/>
      <c r="X36" s="267"/>
      <c r="Y36" s="263">
        <f>SUM(V36:X36)</f>
        <v>0</v>
      </c>
      <c r="Z36" s="263"/>
      <c r="AA36" s="266">
        <f>Y36+Z36</f>
        <v>0</v>
      </c>
      <c r="AB36" s="232" t="e">
        <f>(AA36/O36)</f>
        <v>#DIV/0!</v>
      </c>
      <c r="AC36" s="178"/>
      <c r="AD36" s="178"/>
    </row>
    <row r="37" spans="1:30" x14ac:dyDescent="0.25">
      <c r="A37" s="180"/>
      <c r="B37" s="274" t="s">
        <v>39</v>
      </c>
      <c r="C37" s="273" t="s">
        <v>38</v>
      </c>
      <c r="D37" s="267">
        <v>759.8</v>
      </c>
      <c r="E37" s="267"/>
      <c r="F37" s="267">
        <v>249.8</v>
      </c>
      <c r="G37" s="263">
        <f>SUM(D37:F37)</f>
        <v>1009.5999999999999</v>
      </c>
      <c r="H37" s="263"/>
      <c r="I37" s="266">
        <f>G37+H37</f>
        <v>1009.5999999999999</v>
      </c>
      <c r="J37" s="268">
        <v>1288.8</v>
      </c>
      <c r="K37" s="267"/>
      <c r="L37" s="267"/>
      <c r="M37" s="263">
        <f>SUM(J37:L37)</f>
        <v>1288.8</v>
      </c>
      <c r="N37" s="263"/>
      <c r="O37" s="266">
        <f>M37+N37</f>
        <v>1288.8</v>
      </c>
      <c r="P37" s="268">
        <v>721.7</v>
      </c>
      <c r="Q37" s="267"/>
      <c r="R37" s="267"/>
      <c r="S37" s="263">
        <f>SUM(P37:R37)</f>
        <v>721.7</v>
      </c>
      <c r="T37" s="263"/>
      <c r="U37" s="266">
        <f>S37+T37</f>
        <v>721.7</v>
      </c>
      <c r="V37" s="268">
        <v>738.5</v>
      </c>
      <c r="W37" s="267"/>
      <c r="X37" s="267">
        <v>550.29999999999995</v>
      </c>
      <c r="Y37" s="263">
        <f>SUM(V37:X37)</f>
        <v>1288.8</v>
      </c>
      <c r="Z37" s="263"/>
      <c r="AA37" s="266">
        <f>Y37+Z37</f>
        <v>1288.8</v>
      </c>
      <c r="AB37" s="232">
        <f>(AA37/O37)</f>
        <v>1</v>
      </c>
      <c r="AC37" s="178"/>
      <c r="AD37" s="178"/>
    </row>
    <row r="38" spans="1:30" ht="15.75" thickBot="1" x14ac:dyDescent="0.3">
      <c r="A38" s="180"/>
      <c r="B38" s="265" t="s">
        <v>37</v>
      </c>
      <c r="C38" s="264" t="s">
        <v>36</v>
      </c>
      <c r="D38" s="257">
        <v>570.70000000000005</v>
      </c>
      <c r="E38" s="257">
        <v>1337.6</v>
      </c>
      <c r="F38" s="257">
        <v>10.199999999999999</v>
      </c>
      <c r="G38" s="263">
        <f>SUM(D38:F38)</f>
        <v>1918.5</v>
      </c>
      <c r="H38" s="256"/>
      <c r="I38" s="255">
        <f>G38+H38</f>
        <v>1918.5</v>
      </c>
      <c r="J38" s="258">
        <v>263.8</v>
      </c>
      <c r="K38" s="257">
        <v>389.7</v>
      </c>
      <c r="L38" s="257"/>
      <c r="M38" s="256">
        <f>SUM(J38:L38)</f>
        <v>653.5</v>
      </c>
      <c r="N38" s="256"/>
      <c r="O38" s="255">
        <f>M38+N38</f>
        <v>653.5</v>
      </c>
      <c r="P38" s="258">
        <v>118.1</v>
      </c>
      <c r="Q38" s="257">
        <v>68.7</v>
      </c>
      <c r="R38" s="257"/>
      <c r="S38" s="256">
        <f>SUM(P38:R38)</f>
        <v>186.8</v>
      </c>
      <c r="T38" s="256"/>
      <c r="U38" s="255">
        <f>S38+T38</f>
        <v>186.8</v>
      </c>
      <c r="V38" s="258">
        <v>263.8</v>
      </c>
      <c r="W38" s="257">
        <v>389.7</v>
      </c>
      <c r="X38" s="257"/>
      <c r="Y38" s="256">
        <f>SUM(V38:X38)</f>
        <v>653.5</v>
      </c>
      <c r="Z38" s="256"/>
      <c r="AA38" s="255">
        <f>Y38+Z38</f>
        <v>653.5</v>
      </c>
      <c r="AB38" s="254">
        <f>(AA38/O38)</f>
        <v>1</v>
      </c>
      <c r="AC38" s="178"/>
      <c r="AD38" s="178"/>
    </row>
    <row r="39" spans="1:30" ht="15.75" thickBot="1" x14ac:dyDescent="0.3">
      <c r="A39" s="180"/>
      <c r="B39" s="253" t="s">
        <v>35</v>
      </c>
      <c r="C39" s="252" t="s">
        <v>34</v>
      </c>
      <c r="D39" s="251">
        <f>SUM(D35:D38)+SUM(D28:D32)</f>
        <v>5959.9</v>
      </c>
      <c r="E39" s="251">
        <f>SUM(E35:E38)+SUM(E28:E32)</f>
        <v>36660.400000000001</v>
      </c>
      <c r="F39" s="251">
        <f>SUM(F35:F38)+SUM(F28:F32)</f>
        <v>1603.1000000000001</v>
      </c>
      <c r="G39" s="250">
        <f>SUM(D39:F39)</f>
        <v>44223.4</v>
      </c>
      <c r="H39" s="249">
        <f>SUM(H28:H32)+SUM(H35:H38)</f>
        <v>28.4</v>
      </c>
      <c r="I39" s="248">
        <f>SUM(I35:I38)+SUM(I28:I32)</f>
        <v>44251.8</v>
      </c>
      <c r="J39" s="251">
        <f>SUM(J35:J38)+SUM(J28:J32)</f>
        <v>6209.8</v>
      </c>
      <c r="K39" s="251">
        <f>SUM(K35:K38)+SUM(K28:K32)</f>
        <v>38207.4</v>
      </c>
      <c r="L39" s="251">
        <f>SUM(L35:L38)+SUM(L28:L32)</f>
        <v>1250</v>
      </c>
      <c r="M39" s="250">
        <f>SUM(J39:L39)</f>
        <v>45667.200000000004</v>
      </c>
      <c r="N39" s="249">
        <f>SUM(N28:N32)+SUM(N35:N38)</f>
        <v>120</v>
      </c>
      <c r="O39" s="248">
        <f>SUM(O35:O38)+SUM(O28:O32)</f>
        <v>45787.200000000004</v>
      </c>
      <c r="P39" s="251">
        <f>SUM(P35:P38)+SUM(P28:P32)</f>
        <v>2608.5</v>
      </c>
      <c r="Q39" s="251">
        <f>SUM(Q35:Q38)+SUM(Q28:Q32)</f>
        <v>18375.5</v>
      </c>
      <c r="R39" s="251">
        <f>SUM(R35:R38)+SUM(R28:R32)</f>
        <v>315.5</v>
      </c>
      <c r="S39" s="250">
        <f>SUM(P39:R39)</f>
        <v>21299.5</v>
      </c>
      <c r="T39" s="249">
        <f>SUM(T28:T32)+SUM(T35:T38)</f>
        <v>0</v>
      </c>
      <c r="U39" s="248">
        <f>SUM(U35:U38)+SUM(U28:U32)</f>
        <v>21299.5</v>
      </c>
      <c r="V39" s="251">
        <f>SUM(V35:V38)+SUM(V28:V32)</f>
        <v>5802.3</v>
      </c>
      <c r="W39" s="251">
        <f>SUM(W35:W38)+SUM(W28:W32)</f>
        <v>39355.5</v>
      </c>
      <c r="X39" s="251">
        <f>SUM(X35:X38)+SUM(X28:X32)</f>
        <v>1800.3</v>
      </c>
      <c r="Y39" s="250">
        <f>SUM(V39:X39)</f>
        <v>46958.100000000006</v>
      </c>
      <c r="Z39" s="249">
        <f>SUM(Z28:Z32)+SUM(Z35:Z38)</f>
        <v>120</v>
      </c>
      <c r="AA39" s="248">
        <f>SUM(AA35:AA38)+SUM(AA28:AA32)</f>
        <v>47078.099999999991</v>
      </c>
      <c r="AB39" s="247">
        <f>(AA39/O39)</f>
        <v>1.0281934689170771</v>
      </c>
      <c r="AC39" s="178"/>
      <c r="AD39" s="178"/>
    </row>
    <row r="40" spans="1:30" ht="19.5" thickBot="1" x14ac:dyDescent="0.35">
      <c r="A40" s="180"/>
      <c r="B40" s="246" t="s">
        <v>33</v>
      </c>
      <c r="C40" s="245" t="s">
        <v>32</v>
      </c>
      <c r="D40" s="244">
        <f>D24-D39</f>
        <v>2.5</v>
      </c>
      <c r="E40" s="244">
        <f>E24-E39</f>
        <v>0</v>
      </c>
      <c r="F40" s="244">
        <f>F24-F39</f>
        <v>0</v>
      </c>
      <c r="G40" s="243">
        <f>G24-G39</f>
        <v>2.5</v>
      </c>
      <c r="H40" s="243">
        <f>H24-H39</f>
        <v>65</v>
      </c>
      <c r="I40" s="242">
        <f>I24-I39</f>
        <v>67.5</v>
      </c>
      <c r="J40" s="244">
        <f>J24-J39</f>
        <v>0</v>
      </c>
      <c r="K40" s="244">
        <f>K24-K39</f>
        <v>0</v>
      </c>
      <c r="L40" s="244">
        <f>L24-L39</f>
        <v>0</v>
      </c>
      <c r="M40" s="243">
        <f>M24-M39</f>
        <v>0</v>
      </c>
      <c r="N40" s="243">
        <f>N24-N39</f>
        <v>0</v>
      </c>
      <c r="O40" s="242">
        <f>O24-O39</f>
        <v>0</v>
      </c>
      <c r="P40" s="244">
        <f>P24-P39</f>
        <v>2.6199999999998909</v>
      </c>
      <c r="Q40" s="244">
        <f>Q24-Q39</f>
        <v>0</v>
      </c>
      <c r="R40" s="244">
        <f>R24-R39</f>
        <v>0</v>
      </c>
      <c r="S40" s="243">
        <f>S24-S39</f>
        <v>2.6199999999989814</v>
      </c>
      <c r="T40" s="243">
        <f>T24-T39</f>
        <v>12.1</v>
      </c>
      <c r="U40" s="242">
        <f>U24-U39</f>
        <v>14.720000000004802</v>
      </c>
      <c r="V40" s="244">
        <f>V24-V39</f>
        <v>0</v>
      </c>
      <c r="W40" s="244">
        <f>W24-W39</f>
        <v>0</v>
      </c>
      <c r="X40" s="244">
        <f>X24-X39</f>
        <v>0</v>
      </c>
      <c r="Y40" s="243">
        <f>Y24-Y39</f>
        <v>0</v>
      </c>
      <c r="Z40" s="243">
        <f>Z24-Z39</f>
        <v>0</v>
      </c>
      <c r="AA40" s="242">
        <f>AA24-AA39</f>
        <v>0</v>
      </c>
      <c r="AB40" s="241" t="e">
        <f>(AA40/O40)</f>
        <v>#DIV/0!</v>
      </c>
      <c r="AC40" s="178"/>
      <c r="AD40" s="178"/>
    </row>
    <row r="41" spans="1:30" ht="15.75" thickBot="1" x14ac:dyDescent="0.3">
      <c r="A41" s="180"/>
      <c r="B41" s="240" t="s">
        <v>31</v>
      </c>
      <c r="C41" s="239" t="s">
        <v>30</v>
      </c>
      <c r="D41" s="237"/>
      <c r="E41" s="236"/>
      <c r="F41" s="236"/>
      <c r="G41" s="235"/>
      <c r="H41" s="238"/>
      <c r="I41" s="233">
        <f>I40-D16</f>
        <v>-5242.5</v>
      </c>
      <c r="J41" s="237"/>
      <c r="K41" s="236"/>
      <c r="L41" s="236"/>
      <c r="M41" s="235"/>
      <c r="N41" s="234"/>
      <c r="O41" s="233">
        <f>O40-J16</f>
        <v>-4940</v>
      </c>
      <c r="P41" s="237"/>
      <c r="Q41" s="236"/>
      <c r="R41" s="236"/>
      <c r="S41" s="235"/>
      <c r="T41" s="234"/>
      <c r="U41" s="233">
        <f>U40-P16</f>
        <v>-2084.1799999999953</v>
      </c>
      <c r="V41" s="237"/>
      <c r="W41" s="236"/>
      <c r="X41" s="236"/>
      <c r="Y41" s="235"/>
      <c r="Z41" s="234"/>
      <c r="AA41" s="233">
        <f>AA40-V16</f>
        <v>-5350</v>
      </c>
      <c r="AB41" s="232">
        <f>(AA41/O41)</f>
        <v>1.082995951417004</v>
      </c>
      <c r="AC41" s="178"/>
      <c r="AD41" s="178"/>
    </row>
    <row r="42" spans="1:30" s="191" customFormat="1" ht="8.25" customHeight="1" thickBot="1" x14ac:dyDescent="0.3">
      <c r="A42" s="189"/>
      <c r="B42" s="231"/>
      <c r="C42" s="203"/>
      <c r="D42" s="230"/>
      <c r="E42" s="202"/>
      <c r="F42" s="202"/>
      <c r="G42" s="189"/>
      <c r="H42" s="202"/>
      <c r="I42" s="202"/>
      <c r="J42" s="230"/>
      <c r="K42" s="202"/>
      <c r="L42" s="202"/>
      <c r="M42" s="189"/>
      <c r="N42" s="202"/>
      <c r="O42" s="202"/>
      <c r="P42" s="202"/>
      <c r="Q42" s="202"/>
      <c r="R42" s="202"/>
      <c r="S42" s="202"/>
      <c r="T42" s="202"/>
      <c r="U42" s="202"/>
      <c r="V42" s="217"/>
      <c r="W42" s="217"/>
      <c r="X42" s="217"/>
      <c r="Y42" s="217"/>
      <c r="Z42" s="217"/>
      <c r="AA42" s="217"/>
      <c r="AB42" s="217"/>
      <c r="AC42" s="217"/>
      <c r="AD42" s="217"/>
    </row>
    <row r="43" spans="1:30" s="191" customFormat="1" ht="15.75" customHeight="1" thickBot="1" x14ac:dyDescent="0.3">
      <c r="A43" s="189"/>
      <c r="B43" s="222"/>
      <c r="C43" s="221" t="s">
        <v>29</v>
      </c>
      <c r="D43" s="229" t="s">
        <v>28</v>
      </c>
      <c r="E43" s="228" t="s">
        <v>27</v>
      </c>
      <c r="F43" s="227" t="s">
        <v>26</v>
      </c>
      <c r="G43" s="202"/>
      <c r="H43" s="202"/>
      <c r="I43" s="201"/>
      <c r="J43" s="229" t="s">
        <v>28</v>
      </c>
      <c r="K43" s="228" t="s">
        <v>27</v>
      </c>
      <c r="L43" s="227" t="s">
        <v>26</v>
      </c>
      <c r="M43" s="202"/>
      <c r="N43" s="202"/>
      <c r="O43" s="202"/>
      <c r="P43" s="229" t="s">
        <v>28</v>
      </c>
      <c r="Q43" s="228" t="s">
        <v>27</v>
      </c>
      <c r="R43" s="227" t="s">
        <v>26</v>
      </c>
      <c r="S43" s="217"/>
      <c r="T43" s="217"/>
      <c r="U43" s="217"/>
      <c r="V43" s="229" t="s">
        <v>28</v>
      </c>
      <c r="W43" s="228" t="s">
        <v>27</v>
      </c>
      <c r="X43" s="227" t="s">
        <v>26</v>
      </c>
      <c r="Y43" s="217"/>
      <c r="Z43" s="217"/>
      <c r="AA43" s="217"/>
      <c r="AB43" s="217"/>
      <c r="AC43" s="217"/>
      <c r="AD43" s="217"/>
    </row>
    <row r="44" spans="1:30" ht="15.75" thickBot="1" x14ac:dyDescent="0.3">
      <c r="A44" s="180"/>
      <c r="B44" s="222"/>
      <c r="C44" s="226"/>
      <c r="D44" s="214">
        <v>607</v>
      </c>
      <c r="E44" s="225">
        <v>607</v>
      </c>
      <c r="F44" s="224">
        <v>0</v>
      </c>
      <c r="G44" s="202"/>
      <c r="H44" s="202"/>
      <c r="I44" s="201"/>
      <c r="J44" s="214">
        <v>585</v>
      </c>
      <c r="K44" s="225">
        <v>585</v>
      </c>
      <c r="L44" s="224">
        <v>0</v>
      </c>
      <c r="M44" s="223"/>
      <c r="N44" s="223"/>
      <c r="O44" s="223"/>
      <c r="P44" s="214">
        <v>292.5</v>
      </c>
      <c r="Q44" s="225">
        <v>292.5</v>
      </c>
      <c r="R44" s="224">
        <v>0</v>
      </c>
      <c r="S44" s="178"/>
      <c r="T44" s="178"/>
      <c r="U44" s="178"/>
      <c r="V44" s="214">
        <v>585</v>
      </c>
      <c r="W44" s="225">
        <v>585</v>
      </c>
      <c r="X44" s="224">
        <v>0</v>
      </c>
      <c r="Y44" s="178"/>
      <c r="Z44" s="178"/>
      <c r="AA44" s="178"/>
      <c r="AB44" s="178"/>
      <c r="AC44" s="178"/>
      <c r="AD44" s="178"/>
    </row>
    <row r="45" spans="1:30" s="191" customFormat="1" ht="8.25" customHeight="1" thickBot="1" x14ac:dyDescent="0.3">
      <c r="A45" s="189"/>
      <c r="B45" s="222"/>
      <c r="C45" s="203"/>
      <c r="D45" s="223"/>
      <c r="E45" s="202"/>
      <c r="F45" s="202"/>
      <c r="G45" s="202"/>
      <c r="H45" s="202"/>
      <c r="I45" s="201"/>
      <c r="J45" s="202"/>
      <c r="K45" s="202"/>
      <c r="L45" s="202"/>
      <c r="M45" s="202"/>
      <c r="N45" s="202"/>
      <c r="O45" s="201"/>
      <c r="P45" s="201"/>
      <c r="Q45" s="201"/>
      <c r="R45" s="201"/>
      <c r="S45" s="201"/>
      <c r="T45" s="201"/>
      <c r="U45" s="201"/>
      <c r="V45" s="217"/>
      <c r="W45" s="217"/>
      <c r="X45" s="217"/>
      <c r="Y45" s="217"/>
      <c r="Z45" s="217"/>
      <c r="AA45" s="217"/>
      <c r="AB45" s="217"/>
      <c r="AC45" s="217"/>
      <c r="AD45" s="217"/>
    </row>
    <row r="46" spans="1:30" s="191" customFormat="1" ht="37.5" customHeight="1" thickBot="1" x14ac:dyDescent="0.3">
      <c r="A46" s="189"/>
      <c r="B46" s="222"/>
      <c r="C46" s="221" t="s">
        <v>25</v>
      </c>
      <c r="D46" s="219" t="s">
        <v>24</v>
      </c>
      <c r="E46" s="218" t="s">
        <v>23</v>
      </c>
      <c r="F46" s="202"/>
      <c r="G46" s="202"/>
      <c r="H46" s="202"/>
      <c r="I46" s="201"/>
      <c r="J46" s="219" t="s">
        <v>24</v>
      </c>
      <c r="K46" s="218" t="s">
        <v>23</v>
      </c>
      <c r="L46" s="220"/>
      <c r="M46" s="220"/>
      <c r="N46" s="217"/>
      <c r="O46" s="217"/>
      <c r="P46" s="219" t="s">
        <v>24</v>
      </c>
      <c r="Q46" s="218" t="s">
        <v>23</v>
      </c>
      <c r="R46" s="217"/>
      <c r="S46" s="217"/>
      <c r="T46" s="217"/>
      <c r="U46" s="217"/>
      <c r="V46" s="219" t="s">
        <v>24</v>
      </c>
      <c r="W46" s="218" t="s">
        <v>23</v>
      </c>
      <c r="X46" s="217"/>
      <c r="Y46" s="217"/>
      <c r="Z46" s="217"/>
      <c r="AA46" s="217"/>
      <c r="AB46" s="217"/>
      <c r="AC46" s="217"/>
      <c r="AD46" s="217"/>
    </row>
    <row r="47" spans="1:30" ht="15.75" thickBot="1" x14ac:dyDescent="0.3">
      <c r="A47" s="180"/>
      <c r="B47" s="204"/>
      <c r="C47" s="216"/>
      <c r="D47" s="214">
        <v>0</v>
      </c>
      <c r="E47" s="213">
        <v>0</v>
      </c>
      <c r="F47" s="202"/>
      <c r="G47" s="202"/>
      <c r="H47" s="202"/>
      <c r="I47" s="201"/>
      <c r="J47" s="214">
        <v>0</v>
      </c>
      <c r="K47" s="213">
        <v>0</v>
      </c>
      <c r="L47" s="215"/>
      <c r="M47" s="215"/>
      <c r="N47" s="178"/>
      <c r="O47" s="178"/>
      <c r="P47" s="214">
        <v>0</v>
      </c>
      <c r="Q47" s="213">
        <v>0</v>
      </c>
      <c r="R47" s="178"/>
      <c r="S47" s="178"/>
      <c r="T47" s="178"/>
      <c r="U47" s="178"/>
      <c r="V47" s="214">
        <v>0</v>
      </c>
      <c r="W47" s="213">
        <v>0</v>
      </c>
      <c r="X47" s="178"/>
      <c r="Y47" s="178"/>
      <c r="Z47" s="178"/>
      <c r="AA47" s="178"/>
      <c r="AB47" s="178"/>
      <c r="AC47" s="178"/>
      <c r="AD47" s="178"/>
    </row>
    <row r="48" spans="1:30" x14ac:dyDescent="0.25">
      <c r="A48" s="180"/>
      <c r="B48" s="204"/>
      <c r="C48" s="203"/>
      <c r="D48" s="202"/>
      <c r="E48" s="202"/>
      <c r="F48" s="202"/>
      <c r="G48" s="202"/>
      <c r="H48" s="202"/>
      <c r="I48" s="201"/>
      <c r="J48" s="202"/>
      <c r="K48" s="202"/>
      <c r="L48" s="202"/>
      <c r="M48" s="202"/>
      <c r="N48" s="202"/>
      <c r="O48" s="201"/>
      <c r="P48" s="201"/>
      <c r="Q48" s="201"/>
      <c r="R48" s="201"/>
      <c r="S48" s="201"/>
      <c r="T48" s="201"/>
      <c r="U48" s="201"/>
      <c r="V48" s="178"/>
      <c r="W48" s="178"/>
      <c r="X48" s="178"/>
      <c r="Y48" s="178"/>
      <c r="Z48" s="178"/>
      <c r="AA48" s="178"/>
      <c r="AB48" s="178"/>
      <c r="AC48" s="178"/>
      <c r="AD48" s="178"/>
    </row>
    <row r="49" spans="1:30" x14ac:dyDescent="0.25">
      <c r="A49" s="180"/>
      <c r="B49" s="204"/>
      <c r="C49" s="208" t="s">
        <v>22</v>
      </c>
      <c r="D49" s="207" t="s">
        <v>20</v>
      </c>
      <c r="E49" s="207" t="s">
        <v>18</v>
      </c>
      <c r="F49" s="207" t="s">
        <v>17</v>
      </c>
      <c r="G49" s="207" t="s">
        <v>21</v>
      </c>
      <c r="H49" s="202"/>
      <c r="I49" s="178"/>
      <c r="J49" s="207" t="s">
        <v>20</v>
      </c>
      <c r="K49" s="207" t="s">
        <v>18</v>
      </c>
      <c r="L49" s="207" t="s">
        <v>17</v>
      </c>
      <c r="M49" s="207" t="s">
        <v>16</v>
      </c>
      <c r="N49" s="178"/>
      <c r="O49" s="178"/>
      <c r="P49" s="207" t="s">
        <v>20</v>
      </c>
      <c r="Q49" s="207" t="s">
        <v>18</v>
      </c>
      <c r="R49" s="207" t="s">
        <v>17</v>
      </c>
      <c r="S49" s="207" t="s">
        <v>16</v>
      </c>
      <c r="T49" s="178"/>
      <c r="U49" s="178"/>
      <c r="V49" s="207" t="s">
        <v>19</v>
      </c>
      <c r="W49" s="207" t="s">
        <v>18</v>
      </c>
      <c r="X49" s="207" t="s">
        <v>17</v>
      </c>
      <c r="Y49" s="207" t="s">
        <v>16</v>
      </c>
      <c r="Z49" s="178"/>
      <c r="AA49" s="178"/>
      <c r="AB49" s="178"/>
      <c r="AC49" s="178"/>
      <c r="AD49" s="178"/>
    </row>
    <row r="50" spans="1:30" x14ac:dyDescent="0.25">
      <c r="A50" s="180"/>
      <c r="B50" s="204"/>
      <c r="C50" s="206" t="s">
        <v>112</v>
      </c>
      <c r="D50" s="210">
        <f>SUM(D51:D54)</f>
        <v>2150.9899999999998</v>
      </c>
      <c r="E50" s="210">
        <f>SUM(E51:E54)</f>
        <v>2731.91</v>
      </c>
      <c r="F50" s="210">
        <f>SUM(F51:F54)</f>
        <v>1150.4000000000001</v>
      </c>
      <c r="G50" s="209">
        <f>D50+E50-F50</f>
        <v>3732.4999999999995</v>
      </c>
      <c r="H50" s="202"/>
      <c r="I50" s="178"/>
      <c r="J50" s="210">
        <f>SUM(J51:J54)</f>
        <v>1402.6999999999998</v>
      </c>
      <c r="K50" s="210">
        <f>SUM(K51:K54)</f>
        <v>752</v>
      </c>
      <c r="L50" s="210">
        <f>SUM(L51:L54)</f>
        <v>766.9</v>
      </c>
      <c r="M50" s="210">
        <f>SUM(M51:M54)</f>
        <v>1387.8</v>
      </c>
      <c r="N50" s="178"/>
      <c r="O50" s="178"/>
      <c r="P50" s="210">
        <f>SUM(P51:P54)</f>
        <v>3732.5</v>
      </c>
      <c r="Q50" s="210">
        <f>SUM(Q51:Q54)</f>
        <v>4143.8</v>
      </c>
      <c r="R50" s="210">
        <f>SUM(R51:R54)</f>
        <v>4249.3999999999996</v>
      </c>
      <c r="S50" s="210">
        <f>SUM(S51:S54)</f>
        <v>3626.9000000000005</v>
      </c>
      <c r="T50" s="178"/>
      <c r="U50" s="178"/>
      <c r="V50" s="210">
        <f>SUM(V51:V54)</f>
        <v>3626.9000000000005</v>
      </c>
      <c r="W50" s="210">
        <f>SUM(W51:W54)</f>
        <v>2150.6</v>
      </c>
      <c r="X50" s="210">
        <f>SUM(X51:X54)</f>
        <v>3823</v>
      </c>
      <c r="Y50" s="210">
        <f>SUM(Y51:Y54)</f>
        <v>1954.5000000000007</v>
      </c>
      <c r="Z50" s="178"/>
      <c r="AA50" s="178"/>
      <c r="AB50" s="178"/>
      <c r="AC50" s="178"/>
      <c r="AD50" s="178"/>
    </row>
    <row r="51" spans="1:30" x14ac:dyDescent="0.25">
      <c r="A51" s="180"/>
      <c r="B51" s="204"/>
      <c r="C51" s="206" t="s">
        <v>15</v>
      </c>
      <c r="D51" s="210">
        <v>1044.9000000000001</v>
      </c>
      <c r="E51" s="210">
        <v>1920.7</v>
      </c>
      <c r="F51" s="210">
        <v>703.1</v>
      </c>
      <c r="G51" s="209">
        <f>D51+E51-F51</f>
        <v>2262.5000000000005</v>
      </c>
      <c r="H51" s="202"/>
      <c r="I51" s="178"/>
      <c r="J51" s="210">
        <v>236.5</v>
      </c>
      <c r="K51" s="210">
        <v>70</v>
      </c>
      <c r="L51" s="210">
        <v>0</v>
      </c>
      <c r="M51" s="209">
        <f>J51+K51-L51</f>
        <v>306.5</v>
      </c>
      <c r="N51" s="178"/>
      <c r="O51" s="178"/>
      <c r="P51" s="210">
        <v>2262.5</v>
      </c>
      <c r="Q51" s="210">
        <v>3390.5</v>
      </c>
      <c r="R51" s="210">
        <v>3606.7</v>
      </c>
      <c r="S51" s="209">
        <f>P51+Q51-R51</f>
        <v>2046.3000000000002</v>
      </c>
      <c r="T51" s="178"/>
      <c r="U51" s="178"/>
      <c r="V51" s="209">
        <f>S51+T51-U51</f>
        <v>2046.3000000000002</v>
      </c>
      <c r="W51" s="210">
        <v>1386.6</v>
      </c>
      <c r="X51" s="210">
        <v>3160.7</v>
      </c>
      <c r="Y51" s="209">
        <f>V51+W51-X51</f>
        <v>272.20000000000027</v>
      </c>
      <c r="Z51" s="178"/>
      <c r="AA51" s="178"/>
      <c r="AB51" s="178"/>
      <c r="AC51" s="178"/>
      <c r="AD51" s="178"/>
    </row>
    <row r="52" spans="1:30" x14ac:dyDescent="0.25">
      <c r="A52" s="180"/>
      <c r="B52" s="204"/>
      <c r="C52" s="206" t="s">
        <v>14</v>
      </c>
      <c r="D52" s="210">
        <v>332.8</v>
      </c>
      <c r="E52" s="210">
        <v>152.80000000000001</v>
      </c>
      <c r="F52" s="210">
        <v>0</v>
      </c>
      <c r="G52" s="209">
        <f>D52+E52-F52</f>
        <v>485.6</v>
      </c>
      <c r="H52" s="202"/>
      <c r="I52" s="178"/>
      <c r="J52" s="210">
        <v>462.9</v>
      </c>
      <c r="K52" s="210">
        <v>153.4</v>
      </c>
      <c r="L52" s="210">
        <v>200</v>
      </c>
      <c r="M52" s="209">
        <f>J52+K52-L52</f>
        <v>416.29999999999995</v>
      </c>
      <c r="N52" s="178"/>
      <c r="O52" s="178"/>
      <c r="P52" s="210">
        <v>485.6</v>
      </c>
      <c r="Q52" s="210">
        <v>153.4</v>
      </c>
      <c r="R52" s="210">
        <v>0</v>
      </c>
      <c r="S52" s="209">
        <f>P52+Q52-R52</f>
        <v>639</v>
      </c>
      <c r="T52" s="178"/>
      <c r="U52" s="178"/>
      <c r="V52" s="209">
        <f>S52+T52-U52</f>
        <v>639</v>
      </c>
      <c r="W52" s="210">
        <v>153.4</v>
      </c>
      <c r="X52" s="210">
        <v>0</v>
      </c>
      <c r="Y52" s="209">
        <f>V52+W52-X52</f>
        <v>792.4</v>
      </c>
      <c r="Z52" s="178"/>
      <c r="AA52" s="178"/>
      <c r="AB52" s="178"/>
      <c r="AC52" s="178"/>
      <c r="AD52" s="178"/>
    </row>
    <row r="53" spans="1:30" x14ac:dyDescent="0.25">
      <c r="A53" s="180"/>
      <c r="B53" s="204"/>
      <c r="C53" s="206" t="s">
        <v>13</v>
      </c>
      <c r="D53" s="210">
        <v>262.39999999999998</v>
      </c>
      <c r="E53" s="210">
        <v>120</v>
      </c>
      <c r="F53" s="210">
        <v>52.5</v>
      </c>
      <c r="G53" s="209">
        <f>D53+E53-F53</f>
        <v>329.9</v>
      </c>
      <c r="H53" s="202"/>
      <c r="I53" s="178"/>
      <c r="J53" s="210">
        <v>130.4</v>
      </c>
      <c r="K53" s="210">
        <v>30</v>
      </c>
      <c r="L53" s="210">
        <v>60</v>
      </c>
      <c r="M53" s="209">
        <f>J53+K53-L53</f>
        <v>100.4</v>
      </c>
      <c r="N53" s="178"/>
      <c r="O53" s="178"/>
      <c r="P53" s="210">
        <v>329.9</v>
      </c>
      <c r="Q53" s="210">
        <v>13.5</v>
      </c>
      <c r="R53" s="210">
        <v>50</v>
      </c>
      <c r="S53" s="209">
        <f>P53+Q53-R53</f>
        <v>293.39999999999998</v>
      </c>
      <c r="T53" s="178"/>
      <c r="U53" s="178"/>
      <c r="V53" s="209">
        <f>S53+T53-U53</f>
        <v>293.39999999999998</v>
      </c>
      <c r="W53" s="210">
        <v>0</v>
      </c>
      <c r="X53" s="210">
        <v>50</v>
      </c>
      <c r="Y53" s="209">
        <f>V53+W53-X53</f>
        <v>243.39999999999998</v>
      </c>
      <c r="Z53" s="178"/>
      <c r="AA53" s="178"/>
      <c r="AB53" s="178"/>
      <c r="AC53" s="178"/>
      <c r="AD53" s="178"/>
    </row>
    <row r="54" spans="1:30" x14ac:dyDescent="0.25">
      <c r="A54" s="180"/>
      <c r="B54" s="204"/>
      <c r="C54" s="212" t="s">
        <v>12</v>
      </c>
      <c r="D54" s="210">
        <v>510.89</v>
      </c>
      <c r="E54" s="210">
        <v>538.41</v>
      </c>
      <c r="F54" s="210">
        <v>394.8</v>
      </c>
      <c r="G54" s="209">
        <f>D54+E54-F54</f>
        <v>654.5</v>
      </c>
      <c r="H54" s="202"/>
      <c r="I54" s="178"/>
      <c r="J54" s="210">
        <v>572.9</v>
      </c>
      <c r="K54" s="210">
        <v>498.6</v>
      </c>
      <c r="L54" s="210">
        <v>506.9</v>
      </c>
      <c r="M54" s="209">
        <f>J54+K54-L54</f>
        <v>564.6</v>
      </c>
      <c r="N54" s="178"/>
      <c r="O54" s="178"/>
      <c r="P54" s="210">
        <v>654.5</v>
      </c>
      <c r="Q54" s="210">
        <v>586.4</v>
      </c>
      <c r="R54" s="210">
        <v>592.70000000000005</v>
      </c>
      <c r="S54" s="209">
        <f>P54+Q54-R54</f>
        <v>648.20000000000005</v>
      </c>
      <c r="T54" s="178"/>
      <c r="U54" s="178"/>
      <c r="V54" s="209">
        <f>S54+T54-U54</f>
        <v>648.20000000000005</v>
      </c>
      <c r="W54" s="210">
        <v>610.6</v>
      </c>
      <c r="X54" s="210">
        <v>612.29999999999995</v>
      </c>
      <c r="Y54" s="209">
        <f>V54+W54-X54</f>
        <v>646.50000000000023</v>
      </c>
      <c r="Z54" s="178"/>
      <c r="AA54" s="178"/>
      <c r="AB54" s="178"/>
      <c r="AC54" s="178"/>
      <c r="AD54" s="178"/>
    </row>
    <row r="55" spans="1:30" ht="10.5" customHeight="1" x14ac:dyDescent="0.25">
      <c r="A55" s="180"/>
      <c r="B55" s="204"/>
      <c r="C55" s="203"/>
      <c r="D55" s="202"/>
      <c r="E55" s="202"/>
      <c r="F55" s="202"/>
      <c r="G55" s="202"/>
      <c r="H55" s="202"/>
      <c r="I55" s="178"/>
      <c r="J55" s="178"/>
      <c r="K55" s="178"/>
      <c r="L55" s="178"/>
      <c r="M55" s="178"/>
      <c r="N55" s="178"/>
      <c r="O55" s="178"/>
      <c r="P55" s="178"/>
      <c r="Q55" s="178"/>
      <c r="R55" s="178"/>
      <c r="S55" s="178"/>
      <c r="T55" s="178"/>
      <c r="U55" s="178"/>
      <c r="V55" s="178"/>
      <c r="W55" s="178"/>
      <c r="X55" s="178"/>
      <c r="Y55" s="178"/>
      <c r="Z55" s="178"/>
      <c r="AA55" s="178"/>
      <c r="AB55" s="178"/>
      <c r="AC55" s="178"/>
      <c r="AD55" s="178"/>
    </row>
    <row r="56" spans="1:30" x14ac:dyDescent="0.25">
      <c r="A56" s="180"/>
      <c r="B56" s="204"/>
      <c r="C56" s="208" t="s">
        <v>11</v>
      </c>
      <c r="D56" s="207" t="s">
        <v>10</v>
      </c>
      <c r="E56" s="207" t="s">
        <v>9</v>
      </c>
      <c r="F56" s="202"/>
      <c r="G56" s="202"/>
      <c r="H56" s="202"/>
      <c r="I56" s="201"/>
      <c r="J56" s="207" t="s">
        <v>7</v>
      </c>
      <c r="K56" s="202"/>
      <c r="L56" s="202"/>
      <c r="M56" s="202"/>
      <c r="N56" s="202"/>
      <c r="O56" s="201"/>
      <c r="P56" s="207" t="s">
        <v>8</v>
      </c>
      <c r="Q56" s="201"/>
      <c r="R56" s="201"/>
      <c r="S56" s="201"/>
      <c r="T56" s="201"/>
      <c r="U56" s="201"/>
      <c r="V56" s="207" t="s">
        <v>7</v>
      </c>
      <c r="W56" s="178"/>
      <c r="X56" s="178"/>
      <c r="Y56" s="178"/>
      <c r="Z56" s="178"/>
      <c r="AA56" s="178"/>
      <c r="AB56" s="178"/>
      <c r="AC56" s="178"/>
      <c r="AD56" s="178"/>
    </row>
    <row r="57" spans="1:30" x14ac:dyDescent="0.25">
      <c r="A57" s="180"/>
      <c r="B57" s="204"/>
      <c r="C57" s="206"/>
      <c r="D57" s="205">
        <v>54.9</v>
      </c>
      <c r="E57" s="205">
        <v>59.7</v>
      </c>
      <c r="F57" s="202"/>
      <c r="G57" s="202"/>
      <c r="H57" s="202"/>
      <c r="I57" s="201"/>
      <c r="J57" s="205">
        <v>59</v>
      </c>
      <c r="K57" s="202"/>
      <c r="L57" s="202"/>
      <c r="M57" s="202"/>
      <c r="N57" s="202"/>
      <c r="O57" s="201"/>
      <c r="P57" s="205">
        <v>61.5</v>
      </c>
      <c r="Q57" s="201"/>
      <c r="R57" s="201"/>
      <c r="S57" s="201"/>
      <c r="T57" s="201"/>
      <c r="U57" s="201"/>
      <c r="V57" s="205">
        <v>61.5</v>
      </c>
      <c r="W57" s="178"/>
      <c r="X57" s="178"/>
      <c r="Y57" s="178"/>
      <c r="Z57" s="178"/>
      <c r="AA57" s="178"/>
      <c r="AB57" s="178"/>
      <c r="AC57" s="178"/>
      <c r="AD57" s="178"/>
    </row>
    <row r="58" spans="1:30" x14ac:dyDescent="0.25">
      <c r="A58" s="180"/>
      <c r="B58" s="204"/>
      <c r="C58" s="203"/>
      <c r="D58" s="202"/>
      <c r="E58" s="202"/>
      <c r="F58" s="202"/>
      <c r="G58" s="202"/>
      <c r="H58" s="202"/>
      <c r="I58" s="201"/>
      <c r="J58" s="202"/>
      <c r="K58" s="202"/>
      <c r="L58" s="202"/>
      <c r="M58" s="202"/>
      <c r="N58" s="202"/>
      <c r="O58" s="201"/>
      <c r="P58" s="201"/>
      <c r="Q58" s="201"/>
      <c r="R58" s="201"/>
      <c r="S58" s="201"/>
      <c r="T58" s="201"/>
      <c r="U58" s="201"/>
      <c r="V58" s="178"/>
      <c r="W58" s="178"/>
      <c r="X58" s="178"/>
      <c r="Y58" s="178"/>
      <c r="Z58" s="178"/>
      <c r="AA58" s="178"/>
      <c r="AB58" s="178"/>
      <c r="AC58" s="178"/>
      <c r="AD58" s="178"/>
    </row>
    <row r="59" spans="1:30" x14ac:dyDescent="0.25">
      <c r="A59" s="180"/>
      <c r="B59" s="200" t="s">
        <v>6</v>
      </c>
      <c r="C59" s="199"/>
      <c r="D59" s="198"/>
      <c r="E59" s="198"/>
      <c r="F59" s="198"/>
      <c r="G59" s="198"/>
      <c r="H59" s="198"/>
      <c r="I59" s="198"/>
      <c r="J59" s="198"/>
      <c r="K59" s="198"/>
      <c r="L59" s="198"/>
      <c r="M59" s="198"/>
      <c r="N59" s="198"/>
      <c r="O59" s="198"/>
      <c r="P59" s="198"/>
      <c r="Q59" s="198"/>
      <c r="R59" s="198"/>
      <c r="S59" s="198"/>
      <c r="T59" s="198"/>
      <c r="U59" s="670"/>
      <c r="V59" s="197"/>
      <c r="W59" s="197"/>
      <c r="X59" s="197"/>
      <c r="Y59" s="197"/>
      <c r="Z59" s="197"/>
      <c r="AA59" s="197"/>
      <c r="AB59" s="196"/>
      <c r="AC59" s="178"/>
      <c r="AD59" s="178"/>
    </row>
    <row r="60" spans="1:30" x14ac:dyDescent="0.25">
      <c r="A60" s="180"/>
      <c r="B60" s="195"/>
      <c r="C60" s="191"/>
      <c r="D60" s="191"/>
      <c r="E60" s="191"/>
      <c r="F60" s="191"/>
      <c r="G60" s="191"/>
      <c r="H60" s="191"/>
      <c r="I60" s="191"/>
      <c r="J60" s="191"/>
      <c r="K60" s="191"/>
      <c r="L60" s="191"/>
      <c r="M60" s="191"/>
      <c r="N60" s="191"/>
      <c r="O60" s="191"/>
      <c r="P60" s="191"/>
      <c r="Q60" s="191"/>
      <c r="R60" s="191"/>
      <c r="S60" s="191"/>
      <c r="T60" s="191"/>
      <c r="U60" s="190"/>
      <c r="V60" s="191"/>
      <c r="W60" s="191"/>
      <c r="X60" s="191"/>
      <c r="Y60" s="191"/>
      <c r="Z60" s="191"/>
      <c r="AA60" s="191"/>
      <c r="AB60" s="190"/>
      <c r="AC60" s="178"/>
      <c r="AD60" s="178"/>
    </row>
    <row r="61" spans="1:30" x14ac:dyDescent="0.25">
      <c r="A61" s="180"/>
      <c r="B61" s="194"/>
      <c r="C61" s="184"/>
      <c r="D61" s="184"/>
      <c r="E61" s="184"/>
      <c r="F61" s="184"/>
      <c r="G61" s="184"/>
      <c r="H61" s="184"/>
      <c r="I61" s="184"/>
      <c r="J61" s="184"/>
      <c r="K61" s="184"/>
      <c r="L61" s="184"/>
      <c r="M61" s="184"/>
      <c r="N61" s="184"/>
      <c r="O61" s="184"/>
      <c r="P61" s="184"/>
      <c r="Q61" s="184"/>
      <c r="R61" s="184"/>
      <c r="S61" s="184"/>
      <c r="T61" s="184"/>
      <c r="U61" s="663"/>
      <c r="V61" s="191"/>
      <c r="W61" s="191"/>
      <c r="X61" s="191"/>
      <c r="Y61" s="191"/>
      <c r="Z61" s="191"/>
      <c r="AA61" s="191"/>
      <c r="AB61" s="190"/>
      <c r="AC61" s="178"/>
      <c r="AD61" s="178"/>
    </row>
    <row r="62" spans="1:30" ht="17.25" x14ac:dyDescent="0.3">
      <c r="A62" s="180"/>
      <c r="B62" s="667" t="s">
        <v>237</v>
      </c>
      <c r="C62" s="666"/>
      <c r="D62" s="666"/>
      <c r="E62" s="666"/>
      <c r="F62" s="666"/>
      <c r="G62" s="666"/>
      <c r="H62" s="666"/>
      <c r="I62" s="666"/>
      <c r="J62" s="666"/>
      <c r="K62" s="666"/>
      <c r="L62" s="669"/>
      <c r="M62" s="669"/>
      <c r="N62" s="669"/>
      <c r="O62" s="669"/>
      <c r="P62" s="669"/>
      <c r="Q62" s="669"/>
      <c r="R62" s="669"/>
      <c r="S62" s="669"/>
      <c r="T62" s="669"/>
      <c r="U62" s="668"/>
      <c r="V62" s="191"/>
      <c r="W62" s="191"/>
      <c r="X62" s="191"/>
      <c r="Y62" s="191"/>
      <c r="Z62" s="191"/>
      <c r="AA62" s="191"/>
      <c r="AB62" s="190"/>
      <c r="AC62" s="178"/>
      <c r="AD62" s="178"/>
    </row>
    <row r="63" spans="1:30" ht="17.25" x14ac:dyDescent="0.3">
      <c r="A63" s="180"/>
      <c r="B63" s="667" t="s">
        <v>236</v>
      </c>
      <c r="C63" s="666"/>
      <c r="D63" s="666"/>
      <c r="E63" s="666"/>
      <c r="F63" s="666"/>
      <c r="G63" s="666"/>
      <c r="H63" s="666"/>
      <c r="I63" s="666"/>
      <c r="J63" s="666"/>
      <c r="K63" s="666"/>
      <c r="L63" s="666"/>
      <c r="M63" s="666"/>
      <c r="N63" s="666"/>
      <c r="O63" s="666"/>
      <c r="P63" s="666"/>
      <c r="Q63" s="666"/>
      <c r="R63" s="666"/>
      <c r="S63" s="666"/>
      <c r="T63" s="666"/>
      <c r="U63" s="665"/>
      <c r="V63" s="191"/>
      <c r="W63" s="191"/>
      <c r="X63" s="191"/>
      <c r="Y63" s="191"/>
      <c r="Z63" s="191"/>
      <c r="AA63" s="191"/>
      <c r="AB63" s="190"/>
      <c r="AC63" s="178"/>
      <c r="AD63" s="178"/>
    </row>
    <row r="64" spans="1:30" x14ac:dyDescent="0.25">
      <c r="A64" s="180"/>
      <c r="B64" s="193"/>
      <c r="C64" s="192"/>
      <c r="D64" s="192"/>
      <c r="E64" s="192"/>
      <c r="F64" s="192"/>
      <c r="G64" s="192"/>
      <c r="H64" s="192"/>
      <c r="I64" s="192"/>
      <c r="J64" s="192"/>
      <c r="K64" s="192"/>
      <c r="L64" s="192"/>
      <c r="M64" s="192"/>
      <c r="N64" s="192"/>
      <c r="O64" s="192"/>
      <c r="P64" s="192"/>
      <c r="Q64" s="192"/>
      <c r="R64" s="192"/>
      <c r="S64" s="192"/>
      <c r="T64" s="192"/>
      <c r="U64" s="662"/>
      <c r="V64" s="191"/>
      <c r="W64" s="191"/>
      <c r="X64" s="191"/>
      <c r="Y64" s="191"/>
      <c r="Z64" s="191"/>
      <c r="AA64" s="191"/>
      <c r="AB64" s="190"/>
      <c r="AC64" s="178"/>
      <c r="AD64" s="178"/>
    </row>
    <row r="65" spans="1:30" ht="17.25" x14ac:dyDescent="0.3">
      <c r="A65" s="180"/>
      <c r="B65" s="664" t="s">
        <v>235</v>
      </c>
      <c r="C65" s="192"/>
      <c r="D65" s="192"/>
      <c r="E65" s="192"/>
      <c r="F65" s="192"/>
      <c r="G65" s="192"/>
      <c r="H65" s="192"/>
      <c r="I65" s="192"/>
      <c r="J65" s="192"/>
      <c r="K65" s="192"/>
      <c r="L65" s="192"/>
      <c r="M65" s="192"/>
      <c r="N65" s="192"/>
      <c r="O65" s="192"/>
      <c r="P65" s="192"/>
      <c r="Q65" s="192"/>
      <c r="R65" s="192"/>
      <c r="S65" s="192"/>
      <c r="T65" s="192"/>
      <c r="U65" s="662"/>
      <c r="V65" s="191"/>
      <c r="W65" s="191"/>
      <c r="X65" s="191"/>
      <c r="Y65" s="191"/>
      <c r="Z65" s="191"/>
      <c r="AA65" s="191"/>
      <c r="AB65" s="190"/>
      <c r="AC65" s="178"/>
      <c r="AD65" s="178"/>
    </row>
    <row r="66" spans="1:30" x14ac:dyDescent="0.25">
      <c r="A66" s="180"/>
      <c r="B66" s="193"/>
      <c r="C66" s="192"/>
      <c r="D66" s="192"/>
      <c r="E66" s="192"/>
      <c r="F66" s="192"/>
      <c r="G66" s="192"/>
      <c r="H66" s="192"/>
      <c r="I66" s="192"/>
      <c r="J66" s="192"/>
      <c r="K66" s="192"/>
      <c r="L66" s="192"/>
      <c r="M66" s="192"/>
      <c r="N66" s="192"/>
      <c r="O66" s="192"/>
      <c r="P66" s="192"/>
      <c r="Q66" s="192"/>
      <c r="R66" s="192"/>
      <c r="S66" s="192"/>
      <c r="T66" s="192"/>
      <c r="U66" s="662"/>
      <c r="V66" s="191"/>
      <c r="W66" s="191"/>
      <c r="X66" s="191"/>
      <c r="Y66" s="191"/>
      <c r="Z66" s="191"/>
      <c r="AA66" s="191"/>
      <c r="AB66" s="190"/>
      <c r="AC66" s="178"/>
      <c r="AD66" s="178"/>
    </row>
    <row r="67" spans="1:30" ht="17.25" x14ac:dyDescent="0.3">
      <c r="A67" s="180"/>
      <c r="B67" s="664" t="s">
        <v>234</v>
      </c>
      <c r="C67" s="192"/>
      <c r="D67" s="192"/>
      <c r="E67" s="192"/>
      <c r="F67" s="192"/>
      <c r="G67" s="192"/>
      <c r="H67" s="192"/>
      <c r="I67" s="192"/>
      <c r="J67" s="192"/>
      <c r="K67" s="192"/>
      <c r="L67" s="192"/>
      <c r="M67" s="192"/>
      <c r="N67" s="192"/>
      <c r="O67" s="192"/>
      <c r="P67" s="192"/>
      <c r="Q67" s="192"/>
      <c r="R67" s="192"/>
      <c r="S67" s="192"/>
      <c r="T67" s="192"/>
      <c r="U67" s="662"/>
      <c r="V67" s="191"/>
      <c r="W67" s="191"/>
      <c r="X67" s="191"/>
      <c r="Y67" s="191"/>
      <c r="Z67" s="191"/>
      <c r="AA67" s="191"/>
      <c r="AB67" s="190"/>
      <c r="AC67" s="178"/>
      <c r="AD67" s="178"/>
    </row>
    <row r="68" spans="1:30" x14ac:dyDescent="0.25">
      <c r="A68" s="180"/>
      <c r="B68" s="193"/>
      <c r="C68" s="192"/>
      <c r="D68" s="192"/>
      <c r="E68" s="192"/>
      <c r="F68" s="192"/>
      <c r="G68" s="192"/>
      <c r="H68" s="192"/>
      <c r="I68" s="192"/>
      <c r="J68" s="192"/>
      <c r="K68" s="192"/>
      <c r="L68" s="192"/>
      <c r="M68" s="192"/>
      <c r="N68" s="192"/>
      <c r="O68" s="192"/>
      <c r="P68" s="192"/>
      <c r="Q68" s="192"/>
      <c r="R68" s="192"/>
      <c r="S68" s="192"/>
      <c r="T68" s="192"/>
      <c r="U68" s="662"/>
      <c r="V68" s="191"/>
      <c r="W68" s="191"/>
      <c r="X68" s="191"/>
      <c r="Y68" s="191"/>
      <c r="Z68" s="191"/>
      <c r="AA68" s="191"/>
      <c r="AB68" s="190"/>
      <c r="AC68" s="178"/>
      <c r="AD68" s="178"/>
    </row>
    <row r="69" spans="1:30" x14ac:dyDescent="0.25">
      <c r="A69" s="180"/>
      <c r="B69" s="193"/>
      <c r="C69" s="192"/>
      <c r="D69" s="192"/>
      <c r="E69" s="192"/>
      <c r="F69" s="192"/>
      <c r="G69" s="192"/>
      <c r="H69" s="192"/>
      <c r="I69" s="192"/>
      <c r="J69" s="192"/>
      <c r="K69" s="192"/>
      <c r="L69" s="192"/>
      <c r="M69" s="192"/>
      <c r="N69" s="192"/>
      <c r="O69" s="192"/>
      <c r="P69" s="192"/>
      <c r="Q69" s="192"/>
      <c r="R69" s="192"/>
      <c r="S69" s="192"/>
      <c r="T69" s="192"/>
      <c r="U69" s="662"/>
      <c r="V69" s="191"/>
      <c r="W69" s="191"/>
      <c r="X69" s="191"/>
      <c r="Y69" s="191"/>
      <c r="Z69" s="191"/>
      <c r="AA69" s="191"/>
      <c r="AB69" s="190"/>
      <c r="AC69" s="178"/>
      <c r="AD69" s="178"/>
    </row>
    <row r="70" spans="1:30" x14ac:dyDescent="0.25">
      <c r="A70" s="180"/>
      <c r="B70" s="193"/>
      <c r="C70" s="192"/>
      <c r="D70" s="192"/>
      <c r="E70" s="192"/>
      <c r="F70" s="192"/>
      <c r="G70" s="192"/>
      <c r="H70" s="192"/>
      <c r="I70" s="192"/>
      <c r="J70" s="192"/>
      <c r="K70" s="192"/>
      <c r="L70" s="192"/>
      <c r="M70" s="192"/>
      <c r="N70" s="192"/>
      <c r="O70" s="192"/>
      <c r="P70" s="192"/>
      <c r="Q70" s="192"/>
      <c r="R70" s="192"/>
      <c r="S70" s="192"/>
      <c r="T70" s="192"/>
      <c r="U70" s="662"/>
      <c r="V70" s="191"/>
      <c r="W70" s="191"/>
      <c r="X70" s="191"/>
      <c r="Y70" s="191"/>
      <c r="Z70" s="191"/>
      <c r="AA70" s="191"/>
      <c r="AB70" s="190"/>
      <c r="AC70" s="178"/>
      <c r="AD70" s="178"/>
    </row>
    <row r="71" spans="1:30" x14ac:dyDescent="0.25">
      <c r="A71" s="180"/>
      <c r="B71" s="193"/>
      <c r="C71" s="192"/>
      <c r="D71" s="192"/>
      <c r="E71" s="192"/>
      <c r="F71" s="192"/>
      <c r="G71" s="192"/>
      <c r="H71" s="192"/>
      <c r="I71" s="192"/>
      <c r="J71" s="192"/>
      <c r="K71" s="192"/>
      <c r="L71" s="192"/>
      <c r="M71" s="192"/>
      <c r="N71" s="192"/>
      <c r="O71" s="192"/>
      <c r="P71" s="192"/>
      <c r="Q71" s="192"/>
      <c r="R71" s="192"/>
      <c r="S71" s="192"/>
      <c r="T71" s="192"/>
      <c r="U71" s="662"/>
      <c r="V71" s="191"/>
      <c r="W71" s="191"/>
      <c r="X71" s="191"/>
      <c r="Y71" s="191"/>
      <c r="Z71" s="191"/>
      <c r="AA71" s="191"/>
      <c r="AB71" s="190"/>
      <c r="AC71" s="178"/>
      <c r="AD71" s="178"/>
    </row>
    <row r="72" spans="1:30" x14ac:dyDescent="0.25">
      <c r="A72" s="180"/>
      <c r="B72" s="193"/>
      <c r="C72" s="192"/>
      <c r="D72" s="192"/>
      <c r="E72" s="192"/>
      <c r="F72" s="192"/>
      <c r="G72" s="192"/>
      <c r="H72" s="192"/>
      <c r="I72" s="192"/>
      <c r="J72" s="192"/>
      <c r="K72" s="192"/>
      <c r="L72" s="192"/>
      <c r="M72" s="192"/>
      <c r="N72" s="192"/>
      <c r="O72" s="192"/>
      <c r="P72" s="192"/>
      <c r="Q72" s="192"/>
      <c r="R72" s="192"/>
      <c r="S72" s="192"/>
      <c r="T72" s="192"/>
      <c r="U72" s="662"/>
      <c r="V72" s="191"/>
      <c r="W72" s="191"/>
      <c r="X72" s="191"/>
      <c r="Y72" s="191"/>
      <c r="Z72" s="191"/>
      <c r="AA72" s="191"/>
      <c r="AB72" s="190"/>
      <c r="AC72" s="178"/>
      <c r="AD72" s="178"/>
    </row>
    <row r="73" spans="1:30" x14ac:dyDescent="0.25">
      <c r="A73" s="180"/>
      <c r="B73" s="193"/>
      <c r="C73" s="192"/>
      <c r="D73" s="192"/>
      <c r="E73" s="192"/>
      <c r="F73" s="192"/>
      <c r="G73" s="192"/>
      <c r="H73" s="192"/>
      <c r="I73" s="192"/>
      <c r="J73" s="192"/>
      <c r="K73" s="192"/>
      <c r="L73" s="192"/>
      <c r="M73" s="192"/>
      <c r="N73" s="192"/>
      <c r="O73" s="192"/>
      <c r="P73" s="192"/>
      <c r="Q73" s="192"/>
      <c r="R73" s="192"/>
      <c r="S73" s="192"/>
      <c r="T73" s="192"/>
      <c r="U73" s="662"/>
      <c r="V73" s="191"/>
      <c r="W73" s="191"/>
      <c r="X73" s="191"/>
      <c r="Y73" s="191"/>
      <c r="Z73" s="191"/>
      <c r="AA73" s="191"/>
      <c r="AB73" s="190"/>
      <c r="AC73" s="178"/>
      <c r="AD73" s="178"/>
    </row>
    <row r="74" spans="1:30" x14ac:dyDescent="0.25">
      <c r="A74" s="180"/>
      <c r="B74" s="193"/>
      <c r="C74" s="192"/>
      <c r="D74" s="192"/>
      <c r="E74" s="192"/>
      <c r="F74" s="192"/>
      <c r="G74" s="192"/>
      <c r="H74" s="192"/>
      <c r="I74" s="192"/>
      <c r="J74" s="192"/>
      <c r="K74" s="192"/>
      <c r="L74" s="192"/>
      <c r="M74" s="192"/>
      <c r="N74" s="192"/>
      <c r="O74" s="192"/>
      <c r="P74" s="192"/>
      <c r="Q74" s="192"/>
      <c r="R74" s="192"/>
      <c r="S74" s="192"/>
      <c r="T74" s="192"/>
      <c r="U74" s="662"/>
      <c r="V74" s="191"/>
      <c r="W74" s="191"/>
      <c r="X74" s="191"/>
      <c r="Y74" s="191"/>
      <c r="Z74" s="191"/>
      <c r="AA74" s="191"/>
      <c r="AB74" s="190"/>
      <c r="AC74" s="178"/>
      <c r="AD74" s="178"/>
    </row>
    <row r="75" spans="1:30" x14ac:dyDescent="0.25">
      <c r="A75" s="180"/>
      <c r="B75" s="193"/>
      <c r="C75" s="192"/>
      <c r="D75" s="192"/>
      <c r="E75" s="192"/>
      <c r="F75" s="192"/>
      <c r="G75" s="192"/>
      <c r="H75" s="192"/>
      <c r="I75" s="192"/>
      <c r="J75" s="192"/>
      <c r="K75" s="192"/>
      <c r="L75" s="192"/>
      <c r="M75" s="192"/>
      <c r="N75" s="192"/>
      <c r="O75" s="192"/>
      <c r="P75" s="192"/>
      <c r="Q75" s="192"/>
      <c r="R75" s="192"/>
      <c r="S75" s="192"/>
      <c r="T75" s="192"/>
      <c r="U75" s="662"/>
      <c r="V75" s="191"/>
      <c r="W75" s="191"/>
      <c r="X75" s="191"/>
      <c r="Y75" s="191"/>
      <c r="Z75" s="191"/>
      <c r="AA75" s="191"/>
      <c r="AB75" s="190"/>
      <c r="AC75" s="178"/>
      <c r="AD75" s="178"/>
    </row>
    <row r="76" spans="1:30" x14ac:dyDescent="0.25">
      <c r="A76" s="180"/>
      <c r="B76" s="193"/>
      <c r="C76" s="192"/>
      <c r="D76" s="192"/>
      <c r="E76" s="192"/>
      <c r="F76" s="192"/>
      <c r="G76" s="192"/>
      <c r="H76" s="192"/>
      <c r="I76" s="192"/>
      <c r="J76" s="192"/>
      <c r="K76" s="192"/>
      <c r="L76" s="192"/>
      <c r="M76" s="192"/>
      <c r="N76" s="192"/>
      <c r="O76" s="192"/>
      <c r="P76" s="192"/>
      <c r="Q76" s="192"/>
      <c r="R76" s="192"/>
      <c r="S76" s="192"/>
      <c r="T76" s="192"/>
      <c r="U76" s="662"/>
      <c r="V76" s="191"/>
      <c r="W76" s="191"/>
      <c r="X76" s="191"/>
      <c r="Y76" s="191"/>
      <c r="Z76" s="191"/>
      <c r="AA76" s="191"/>
      <c r="AB76" s="190"/>
      <c r="AC76" s="178"/>
      <c r="AD76" s="178"/>
    </row>
    <row r="77" spans="1:30" x14ac:dyDescent="0.25">
      <c r="A77" s="180"/>
      <c r="B77" s="193"/>
      <c r="C77" s="192"/>
      <c r="D77" s="192"/>
      <c r="E77" s="192"/>
      <c r="F77" s="192"/>
      <c r="G77" s="192"/>
      <c r="H77" s="192"/>
      <c r="I77" s="192"/>
      <c r="J77" s="192"/>
      <c r="K77" s="192"/>
      <c r="L77" s="192"/>
      <c r="M77" s="192"/>
      <c r="N77" s="192"/>
      <c r="O77" s="192"/>
      <c r="P77" s="192"/>
      <c r="Q77" s="192"/>
      <c r="R77" s="192"/>
      <c r="S77" s="192"/>
      <c r="T77" s="192"/>
      <c r="U77" s="662"/>
      <c r="V77" s="191"/>
      <c r="W77" s="191"/>
      <c r="X77" s="191"/>
      <c r="Y77" s="191"/>
      <c r="Z77" s="191"/>
      <c r="AA77" s="191"/>
      <c r="AB77" s="190"/>
      <c r="AC77" s="178"/>
      <c r="AD77" s="178"/>
    </row>
    <row r="78" spans="1:30" x14ac:dyDescent="0.25">
      <c r="A78" s="180"/>
      <c r="B78" s="193"/>
      <c r="C78" s="192"/>
      <c r="D78" s="192"/>
      <c r="E78" s="192"/>
      <c r="F78" s="192"/>
      <c r="G78" s="192"/>
      <c r="H78" s="192"/>
      <c r="I78" s="192"/>
      <c r="J78" s="192"/>
      <c r="K78" s="192"/>
      <c r="L78" s="192"/>
      <c r="M78" s="192"/>
      <c r="N78" s="192"/>
      <c r="O78" s="192"/>
      <c r="P78" s="192"/>
      <c r="Q78" s="192"/>
      <c r="R78" s="192"/>
      <c r="S78" s="192"/>
      <c r="T78" s="192"/>
      <c r="U78" s="662"/>
      <c r="V78" s="191"/>
      <c r="W78" s="191"/>
      <c r="X78" s="191"/>
      <c r="Y78" s="191"/>
      <c r="Z78" s="191"/>
      <c r="AA78" s="191"/>
      <c r="AB78" s="190"/>
      <c r="AC78" s="178"/>
      <c r="AD78" s="178"/>
    </row>
    <row r="79" spans="1:30" x14ac:dyDescent="0.25">
      <c r="A79" s="180"/>
      <c r="B79" s="193"/>
      <c r="C79" s="192"/>
      <c r="D79" s="192"/>
      <c r="E79" s="192"/>
      <c r="F79" s="192"/>
      <c r="G79" s="192"/>
      <c r="H79" s="192"/>
      <c r="I79" s="192"/>
      <c r="J79" s="192"/>
      <c r="K79" s="192"/>
      <c r="L79" s="192"/>
      <c r="M79" s="192"/>
      <c r="N79" s="192"/>
      <c r="O79" s="192"/>
      <c r="P79" s="192"/>
      <c r="Q79" s="192"/>
      <c r="R79" s="192"/>
      <c r="S79" s="192"/>
      <c r="T79" s="192"/>
      <c r="U79" s="662"/>
      <c r="V79" s="191"/>
      <c r="W79" s="191"/>
      <c r="X79" s="191"/>
      <c r="Y79" s="191"/>
      <c r="Z79" s="191"/>
      <c r="AA79" s="191"/>
      <c r="AB79" s="190"/>
      <c r="AC79" s="178"/>
      <c r="AD79" s="178"/>
    </row>
    <row r="80" spans="1:30" x14ac:dyDescent="0.25">
      <c r="A80" s="180"/>
      <c r="B80" s="193"/>
      <c r="C80" s="192"/>
      <c r="D80" s="192"/>
      <c r="E80" s="192"/>
      <c r="F80" s="192"/>
      <c r="G80" s="192"/>
      <c r="H80" s="192"/>
      <c r="I80" s="192"/>
      <c r="J80" s="192"/>
      <c r="K80" s="192"/>
      <c r="L80" s="192"/>
      <c r="M80" s="192"/>
      <c r="N80" s="192"/>
      <c r="O80" s="192"/>
      <c r="P80" s="192"/>
      <c r="Q80" s="192"/>
      <c r="R80" s="192"/>
      <c r="S80" s="192"/>
      <c r="T80" s="192"/>
      <c r="U80" s="662"/>
      <c r="V80" s="191"/>
      <c r="W80" s="191"/>
      <c r="X80" s="191"/>
      <c r="Y80" s="191"/>
      <c r="Z80" s="191"/>
      <c r="AA80" s="191"/>
      <c r="AB80" s="190"/>
      <c r="AC80" s="178"/>
      <c r="AD80" s="178"/>
    </row>
    <row r="81" spans="1:30" x14ac:dyDescent="0.25">
      <c r="A81" s="180"/>
      <c r="B81" s="193"/>
      <c r="C81" s="192"/>
      <c r="D81" s="192"/>
      <c r="E81" s="192"/>
      <c r="F81" s="192"/>
      <c r="G81" s="192"/>
      <c r="H81" s="192"/>
      <c r="I81" s="192"/>
      <c r="J81" s="192"/>
      <c r="K81" s="192"/>
      <c r="L81" s="192"/>
      <c r="M81" s="192"/>
      <c r="N81" s="192"/>
      <c r="O81" s="192"/>
      <c r="P81" s="192"/>
      <c r="Q81" s="192"/>
      <c r="R81" s="192"/>
      <c r="S81" s="192"/>
      <c r="T81" s="192"/>
      <c r="U81" s="662"/>
      <c r="V81" s="191"/>
      <c r="W81" s="191"/>
      <c r="X81" s="191"/>
      <c r="Y81" s="191"/>
      <c r="Z81" s="191"/>
      <c r="AA81" s="191"/>
      <c r="AB81" s="190"/>
      <c r="AC81" s="178"/>
      <c r="AD81" s="178"/>
    </row>
    <row r="82" spans="1:30" x14ac:dyDescent="0.25">
      <c r="A82" s="180"/>
      <c r="B82" s="194"/>
      <c r="C82" s="184"/>
      <c r="D82" s="184"/>
      <c r="E82" s="184"/>
      <c r="F82" s="184"/>
      <c r="G82" s="184"/>
      <c r="H82" s="184"/>
      <c r="I82" s="184"/>
      <c r="J82" s="184"/>
      <c r="K82" s="184"/>
      <c r="L82" s="184"/>
      <c r="M82" s="184"/>
      <c r="N82" s="184"/>
      <c r="O82" s="184"/>
      <c r="P82" s="184"/>
      <c r="Q82" s="184"/>
      <c r="R82" s="184"/>
      <c r="S82" s="184"/>
      <c r="T82" s="184"/>
      <c r="U82" s="663"/>
      <c r="V82" s="191"/>
      <c r="W82" s="191"/>
      <c r="X82" s="191"/>
      <c r="Y82" s="191"/>
      <c r="Z82" s="191"/>
      <c r="AA82" s="191"/>
      <c r="AB82" s="190"/>
      <c r="AC82" s="178"/>
      <c r="AD82" s="178"/>
    </row>
    <row r="83" spans="1:30" x14ac:dyDescent="0.25">
      <c r="A83" s="180"/>
      <c r="B83" s="415"/>
      <c r="C83" s="418"/>
      <c r="D83" s="418"/>
      <c r="E83" s="418"/>
      <c r="F83" s="192"/>
      <c r="G83" s="192"/>
      <c r="H83" s="192"/>
      <c r="I83" s="192"/>
      <c r="J83" s="192"/>
      <c r="K83" s="192"/>
      <c r="L83" s="192"/>
      <c r="M83" s="192"/>
      <c r="N83" s="192"/>
      <c r="O83" s="192"/>
      <c r="P83" s="192"/>
      <c r="Q83" s="192"/>
      <c r="R83" s="192"/>
      <c r="S83" s="192"/>
      <c r="T83" s="192"/>
      <c r="U83" s="662"/>
      <c r="V83" s="191"/>
      <c r="W83" s="191"/>
      <c r="X83" s="191"/>
      <c r="Y83" s="191"/>
      <c r="Z83" s="191"/>
      <c r="AA83" s="191"/>
      <c r="AB83" s="190"/>
      <c r="AC83" s="178"/>
      <c r="AD83" s="178"/>
    </row>
    <row r="84" spans="1:30" x14ac:dyDescent="0.25">
      <c r="A84" s="180"/>
      <c r="B84" s="417"/>
      <c r="C84" s="416"/>
      <c r="D84" s="413"/>
      <c r="E84" s="413"/>
      <c r="F84" s="192"/>
      <c r="G84" s="192"/>
      <c r="H84" s="192"/>
      <c r="I84" s="192"/>
      <c r="J84" s="192"/>
      <c r="K84" s="192"/>
      <c r="L84" s="192"/>
      <c r="M84" s="192"/>
      <c r="N84" s="192"/>
      <c r="O84" s="192"/>
      <c r="P84" s="192"/>
      <c r="Q84" s="192"/>
      <c r="R84" s="192"/>
      <c r="S84" s="192"/>
      <c r="T84" s="192"/>
      <c r="U84" s="662"/>
      <c r="V84" s="191"/>
      <c r="W84" s="191"/>
      <c r="X84" s="191"/>
      <c r="Y84" s="191"/>
      <c r="Z84" s="191"/>
      <c r="AA84" s="191"/>
      <c r="AB84" s="190"/>
      <c r="AC84" s="178"/>
      <c r="AD84" s="178"/>
    </row>
    <row r="85" spans="1:30" x14ac:dyDescent="0.25">
      <c r="A85" s="180"/>
      <c r="B85" s="415"/>
      <c r="C85" s="414"/>
      <c r="D85" s="413"/>
      <c r="E85" s="413"/>
      <c r="F85" s="192"/>
      <c r="G85" s="192"/>
      <c r="H85" s="192"/>
      <c r="I85" s="192"/>
      <c r="J85" s="192"/>
      <c r="K85" s="192"/>
      <c r="L85" s="192"/>
      <c r="M85" s="192"/>
      <c r="N85" s="192"/>
      <c r="O85" s="192"/>
      <c r="P85" s="192"/>
      <c r="Q85" s="192"/>
      <c r="R85" s="192"/>
      <c r="S85" s="192"/>
      <c r="T85" s="192"/>
      <c r="U85" s="662"/>
      <c r="V85" s="191"/>
      <c r="W85" s="191"/>
      <c r="X85" s="191"/>
      <c r="Y85" s="191"/>
      <c r="Z85" s="191"/>
      <c r="AA85" s="191"/>
      <c r="AB85" s="190"/>
      <c r="AC85" s="178"/>
      <c r="AD85" s="178"/>
    </row>
    <row r="86" spans="1:30" x14ac:dyDescent="0.25">
      <c r="A86" s="180"/>
      <c r="B86" s="415"/>
      <c r="C86" s="414"/>
      <c r="D86" s="413"/>
      <c r="E86" s="413"/>
      <c r="F86" s="192"/>
      <c r="G86" s="192"/>
      <c r="H86" s="192"/>
      <c r="I86" s="192"/>
      <c r="J86" s="192"/>
      <c r="K86" s="192"/>
      <c r="L86" s="192"/>
      <c r="M86" s="192"/>
      <c r="N86" s="192"/>
      <c r="O86" s="192"/>
      <c r="P86" s="192"/>
      <c r="Q86" s="192"/>
      <c r="R86" s="192"/>
      <c r="S86" s="192"/>
      <c r="T86" s="192"/>
      <c r="U86" s="662"/>
      <c r="V86" s="191"/>
      <c r="W86" s="191"/>
      <c r="X86" s="191"/>
      <c r="Y86" s="191"/>
      <c r="Z86" s="191"/>
      <c r="AA86" s="191"/>
      <c r="AB86" s="190"/>
      <c r="AC86" s="178"/>
      <c r="AD86" s="178"/>
    </row>
    <row r="87" spans="1:30" x14ac:dyDescent="0.25">
      <c r="A87" s="180"/>
      <c r="B87" s="412"/>
      <c r="C87" s="411"/>
      <c r="D87" s="410"/>
      <c r="E87" s="410"/>
      <c r="F87" s="409"/>
      <c r="G87" s="409"/>
      <c r="H87" s="409"/>
      <c r="I87" s="409"/>
      <c r="J87" s="409"/>
      <c r="K87" s="409"/>
      <c r="L87" s="409"/>
      <c r="M87" s="409"/>
      <c r="N87" s="409"/>
      <c r="O87" s="409"/>
      <c r="P87" s="409"/>
      <c r="Q87" s="409"/>
      <c r="R87" s="409"/>
      <c r="S87" s="409"/>
      <c r="T87" s="409"/>
      <c r="U87" s="661"/>
      <c r="V87" s="408"/>
      <c r="W87" s="408"/>
      <c r="X87" s="408"/>
      <c r="Y87" s="408"/>
      <c r="Z87" s="408"/>
      <c r="AA87" s="408"/>
      <c r="AB87" s="407"/>
      <c r="AC87" s="178"/>
      <c r="AD87" s="178"/>
    </row>
    <row r="88" spans="1:30" x14ac:dyDescent="0.25">
      <c r="A88" s="189"/>
      <c r="B88" s="187"/>
      <c r="C88" s="188"/>
      <c r="D88" s="187"/>
      <c r="E88" s="187"/>
      <c r="F88" s="186"/>
      <c r="G88" s="186"/>
      <c r="H88" s="186"/>
      <c r="I88" s="186"/>
      <c r="J88" s="186"/>
      <c r="K88" s="186"/>
      <c r="L88" s="186"/>
      <c r="M88" s="186"/>
      <c r="N88" s="186"/>
      <c r="O88" s="186"/>
      <c r="P88" s="186"/>
      <c r="Q88" s="186"/>
      <c r="R88" s="186"/>
      <c r="S88" s="186"/>
      <c r="T88" s="186"/>
      <c r="U88" s="186"/>
      <c r="V88" s="178"/>
      <c r="W88" s="178"/>
      <c r="X88" s="178"/>
      <c r="Y88" s="178"/>
      <c r="Z88" s="178"/>
      <c r="AA88" s="178"/>
      <c r="AB88" s="178"/>
      <c r="AC88" s="178"/>
      <c r="AD88" s="178"/>
    </row>
    <row r="89" spans="1:30" x14ac:dyDescent="0.25">
      <c r="A89" s="189"/>
      <c r="B89" s="187"/>
      <c r="C89" s="188"/>
      <c r="D89" s="187"/>
      <c r="E89" s="187"/>
      <c r="F89" s="186"/>
      <c r="G89" s="186"/>
      <c r="H89" s="186"/>
      <c r="I89" s="186"/>
      <c r="J89" s="186"/>
      <c r="K89" s="186"/>
      <c r="L89" s="186"/>
      <c r="M89" s="186"/>
      <c r="N89" s="186"/>
      <c r="O89" s="186"/>
      <c r="P89" s="186"/>
      <c r="Q89" s="186"/>
      <c r="R89" s="186"/>
      <c r="S89" s="186"/>
      <c r="T89" s="186"/>
      <c r="U89" s="186"/>
      <c r="V89" s="178"/>
      <c r="W89" s="178"/>
      <c r="X89" s="178"/>
      <c r="Y89" s="178"/>
      <c r="Z89" s="178"/>
      <c r="AA89" s="178"/>
      <c r="AB89" s="178"/>
      <c r="AC89" s="178"/>
      <c r="AD89" s="178"/>
    </row>
    <row r="90" spans="1:30" x14ac:dyDescent="0.25">
      <c r="A90" s="180"/>
      <c r="B90" s="179"/>
      <c r="C90" s="179"/>
      <c r="D90" s="179"/>
      <c r="E90" s="179"/>
      <c r="F90" s="179"/>
      <c r="G90" s="179"/>
      <c r="H90" s="179"/>
      <c r="I90" s="179"/>
      <c r="J90" s="179"/>
      <c r="K90" s="179"/>
      <c r="L90" s="179"/>
      <c r="M90" s="179"/>
      <c r="N90" s="179"/>
      <c r="O90" s="179"/>
      <c r="P90" s="179"/>
      <c r="Q90" s="179"/>
      <c r="R90" s="179"/>
      <c r="S90" s="179"/>
      <c r="T90" s="179"/>
      <c r="U90" s="179"/>
      <c r="V90" s="178"/>
      <c r="W90" s="178"/>
      <c r="X90" s="178"/>
      <c r="Y90" s="178"/>
      <c r="Z90" s="178"/>
      <c r="AA90" s="178"/>
      <c r="AB90" s="178"/>
      <c r="AC90" s="178"/>
      <c r="AD90" s="178"/>
    </row>
    <row r="91" spans="1:30" x14ac:dyDescent="0.25">
      <c r="A91" s="180"/>
      <c r="B91" s="179" t="s">
        <v>5</v>
      </c>
      <c r="C91" s="185">
        <v>44496</v>
      </c>
      <c r="D91" s="179" t="s">
        <v>4</v>
      </c>
      <c r="E91" s="184" t="s">
        <v>233</v>
      </c>
      <c r="F91" s="184"/>
      <c r="G91" s="184"/>
      <c r="H91" s="179"/>
      <c r="I91" s="179" t="s">
        <v>2</v>
      </c>
      <c r="J91" s="183" t="s">
        <v>232</v>
      </c>
      <c r="K91" s="183"/>
      <c r="L91" s="183"/>
      <c r="M91" s="183"/>
      <c r="N91" s="179"/>
      <c r="O91" s="179"/>
      <c r="P91" s="179"/>
      <c r="Q91" s="179"/>
      <c r="R91" s="179"/>
      <c r="S91" s="179"/>
      <c r="T91" s="179"/>
      <c r="U91" s="179"/>
      <c r="V91" s="178"/>
      <c r="W91" s="178"/>
      <c r="X91" s="178"/>
      <c r="Y91" s="178"/>
      <c r="Z91" s="178"/>
      <c r="AA91" s="178"/>
      <c r="AB91" s="178"/>
      <c r="AC91" s="178"/>
      <c r="AD91" s="178"/>
    </row>
    <row r="92" spans="1:30" ht="7.5" customHeight="1" x14ac:dyDescent="0.25">
      <c r="A92" s="180"/>
      <c r="B92" s="179"/>
      <c r="C92" s="179"/>
      <c r="D92" s="179"/>
      <c r="E92" s="179"/>
      <c r="F92" s="179"/>
      <c r="G92" s="179"/>
      <c r="H92" s="179"/>
      <c r="I92" s="179"/>
      <c r="J92" s="179"/>
      <c r="K92" s="179"/>
      <c r="L92" s="179"/>
      <c r="M92" s="179"/>
      <c r="N92" s="179"/>
      <c r="O92" s="179"/>
      <c r="P92" s="179"/>
      <c r="Q92" s="179"/>
      <c r="R92" s="179"/>
      <c r="S92" s="179"/>
      <c r="T92" s="179"/>
      <c r="U92" s="179"/>
      <c r="V92" s="178"/>
      <c r="W92" s="178"/>
      <c r="X92" s="178"/>
      <c r="Y92" s="178"/>
      <c r="Z92" s="178"/>
      <c r="AA92" s="178"/>
      <c r="AB92" s="178"/>
      <c r="AC92" s="178"/>
      <c r="AD92" s="178"/>
    </row>
    <row r="93" spans="1:30" x14ac:dyDescent="0.25">
      <c r="A93" s="180"/>
      <c r="B93" s="179"/>
      <c r="C93" s="179"/>
      <c r="D93" s="179" t="s">
        <v>0</v>
      </c>
      <c r="E93" s="182"/>
      <c r="F93" s="182"/>
      <c r="G93" s="182"/>
      <c r="H93" s="179"/>
      <c r="I93" s="179" t="s">
        <v>0</v>
      </c>
      <c r="J93" s="181"/>
      <c r="K93" s="181"/>
      <c r="L93" s="181"/>
      <c r="M93" s="181"/>
      <c r="N93" s="179"/>
      <c r="O93" s="179"/>
      <c r="P93" s="179"/>
      <c r="Q93" s="179"/>
      <c r="R93" s="179"/>
      <c r="S93" s="179"/>
      <c r="T93" s="179"/>
      <c r="U93" s="179"/>
      <c r="V93" s="178"/>
      <c r="W93" s="178"/>
      <c r="X93" s="178"/>
      <c r="Y93" s="178"/>
      <c r="Z93" s="178"/>
      <c r="AA93" s="178"/>
      <c r="AB93" s="178"/>
      <c r="AC93" s="178"/>
      <c r="AD93" s="178"/>
    </row>
    <row r="94" spans="1:30" x14ac:dyDescent="0.25">
      <c r="A94" s="180"/>
      <c r="B94" s="179"/>
      <c r="C94" s="179"/>
      <c r="D94" s="179"/>
      <c r="E94" s="182"/>
      <c r="F94" s="182"/>
      <c r="G94" s="182"/>
      <c r="H94" s="179"/>
      <c r="I94" s="179"/>
      <c r="J94" s="181"/>
      <c r="K94" s="181"/>
      <c r="L94" s="181"/>
      <c r="M94" s="181"/>
      <c r="N94" s="179"/>
      <c r="O94" s="179"/>
      <c r="P94" s="179"/>
      <c r="Q94" s="179"/>
      <c r="R94" s="179"/>
      <c r="S94" s="179"/>
      <c r="T94" s="179"/>
      <c r="U94" s="179"/>
      <c r="V94" s="178"/>
      <c r="W94" s="178"/>
      <c r="X94" s="178"/>
      <c r="Y94" s="178"/>
      <c r="Z94" s="178"/>
      <c r="AA94" s="178"/>
      <c r="AB94" s="178"/>
      <c r="AC94" s="178"/>
      <c r="AD94" s="178"/>
    </row>
    <row r="95" spans="1:30" x14ac:dyDescent="0.25">
      <c r="A95" s="180"/>
      <c r="B95" s="179"/>
      <c r="C95" s="179"/>
      <c r="D95" s="179"/>
      <c r="E95" s="179"/>
      <c r="F95" s="179"/>
      <c r="G95" s="179"/>
      <c r="H95" s="179"/>
      <c r="I95" s="179"/>
      <c r="J95" s="179"/>
      <c r="K95" s="179"/>
      <c r="L95" s="179"/>
      <c r="M95" s="179"/>
      <c r="N95" s="179"/>
      <c r="O95" s="179"/>
      <c r="P95" s="179"/>
      <c r="Q95" s="179"/>
      <c r="R95" s="179"/>
      <c r="S95" s="179"/>
      <c r="T95" s="179"/>
      <c r="U95" s="179"/>
      <c r="V95" s="178"/>
      <c r="W95" s="178"/>
      <c r="X95" s="178"/>
      <c r="Y95" s="178"/>
      <c r="Z95" s="178"/>
      <c r="AA95" s="178"/>
      <c r="AB95" s="178"/>
      <c r="AC95" s="178"/>
      <c r="AD95" s="178"/>
    </row>
    <row r="96" spans="1:30" x14ac:dyDescent="0.25">
      <c r="A96" s="180"/>
      <c r="B96" s="179"/>
      <c r="C96" s="179"/>
      <c r="D96" s="179"/>
      <c r="E96" s="179"/>
      <c r="F96" s="179"/>
      <c r="G96" s="179"/>
      <c r="H96" s="179"/>
      <c r="I96" s="179"/>
      <c r="J96" s="179"/>
      <c r="K96" s="179"/>
      <c r="L96" s="179"/>
      <c r="M96" s="179"/>
      <c r="N96" s="179"/>
      <c r="O96" s="179"/>
      <c r="P96" s="179"/>
      <c r="Q96" s="179"/>
      <c r="R96" s="179"/>
      <c r="S96" s="179"/>
      <c r="T96" s="179"/>
      <c r="U96" s="179"/>
      <c r="V96" s="178"/>
      <c r="W96" s="178"/>
      <c r="X96" s="178"/>
      <c r="Y96" s="178"/>
      <c r="Z96" s="178"/>
      <c r="AA96" s="178"/>
      <c r="AB96" s="178"/>
      <c r="AC96" s="178"/>
      <c r="AD96" s="178"/>
    </row>
    <row r="97" spans="29:30" hidden="1" x14ac:dyDescent="0.25">
      <c r="AC97" s="175"/>
      <c r="AD97" s="175"/>
    </row>
    <row r="98" spans="29:30" hidden="1" x14ac:dyDescent="0.25"/>
    <row r="99" spans="29:30" hidden="1" x14ac:dyDescent="0.25"/>
    <row r="100" spans="29:30" hidden="1" x14ac:dyDescent="0.25"/>
    <row r="101" spans="29:30" hidden="1" x14ac:dyDescent="0.25"/>
    <row r="102" spans="29:30" hidden="1" x14ac:dyDescent="0.25"/>
    <row r="103" spans="29:30" hidden="1" x14ac:dyDescent="0.25"/>
    <row r="104" spans="29:30" hidden="1" x14ac:dyDescent="0.25"/>
    <row r="105" spans="29:30" hidden="1" x14ac:dyDescent="0.25"/>
    <row r="106" spans="29:30" hidden="1" x14ac:dyDescent="0.25"/>
    <row r="107" spans="29:30" hidden="1" x14ac:dyDescent="0.25"/>
    <row r="108" spans="29:30" hidden="1" x14ac:dyDescent="0.25"/>
    <row r="109" spans="29:30" hidden="1" x14ac:dyDescent="0.25"/>
    <row r="110" spans="29:30" hidden="1" x14ac:dyDescent="0.25"/>
    <row r="111" spans="29:30" hidden="1" x14ac:dyDescent="0.25"/>
    <row r="112" spans="29:30" hidden="1" x14ac:dyDescent="0.25"/>
    <row r="113" ht="15"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t="15" hidden="1" customHeight="1" x14ac:dyDescent="0.25"/>
    <row r="128" ht="15"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sheetData>
  <mergeCells count="66">
    <mergeCell ref="AB10:AB14"/>
    <mergeCell ref="V11:Y11"/>
    <mergeCell ref="V12:AA12"/>
    <mergeCell ref="V13:X13"/>
    <mergeCell ref="AA13:AA14"/>
    <mergeCell ref="V10:AA10"/>
    <mergeCell ref="Y13:Y14"/>
    <mergeCell ref="Z13:Z14"/>
    <mergeCell ref="T26:T27"/>
    <mergeCell ref="U26:U27"/>
    <mergeCell ref="AB25:AB27"/>
    <mergeCell ref="V26:X26"/>
    <mergeCell ref="AA26:AA27"/>
    <mergeCell ref="Y26:Y27"/>
    <mergeCell ref="Z26:Z27"/>
    <mergeCell ref="V25:AA25"/>
    <mergeCell ref="D4:U4"/>
    <mergeCell ref="D8:U8"/>
    <mergeCell ref="C43:C44"/>
    <mergeCell ref="C46:C47"/>
    <mergeCell ref="C26:C27"/>
    <mergeCell ref="D12:I12"/>
    <mergeCell ref="D10:I10"/>
    <mergeCell ref="D11:G11"/>
    <mergeCell ref="C10:C13"/>
    <mergeCell ref="D13:F13"/>
    <mergeCell ref="U13:U14"/>
    <mergeCell ref="P25:U25"/>
    <mergeCell ref="E91:G91"/>
    <mergeCell ref="J91:M91"/>
    <mergeCell ref="B63:U63"/>
    <mergeCell ref="B82:U82"/>
    <mergeCell ref="H26:H27"/>
    <mergeCell ref="I26:I27"/>
    <mergeCell ref="P26:R26"/>
    <mergeCell ref="S26:S27"/>
    <mergeCell ref="D59:U59"/>
    <mergeCell ref="B61:U61"/>
    <mergeCell ref="B26:B27"/>
    <mergeCell ref="O13:O14"/>
    <mergeCell ref="J25:O25"/>
    <mergeCell ref="J26:L26"/>
    <mergeCell ref="M26:M27"/>
    <mergeCell ref="N26:N27"/>
    <mergeCell ref="O26:O27"/>
    <mergeCell ref="G13:G14"/>
    <mergeCell ref="D26:F26"/>
    <mergeCell ref="G26:G27"/>
    <mergeCell ref="B10:B13"/>
    <mergeCell ref="P10:U10"/>
    <mergeCell ref="P11:S11"/>
    <mergeCell ref="P12:U12"/>
    <mergeCell ref="P13:R13"/>
    <mergeCell ref="H13:H14"/>
    <mergeCell ref="S13:S14"/>
    <mergeCell ref="T13:T14"/>
    <mergeCell ref="B62:K62"/>
    <mergeCell ref="L62:U62"/>
    <mergeCell ref="J10:O10"/>
    <mergeCell ref="J11:M11"/>
    <mergeCell ref="J12:O12"/>
    <mergeCell ref="J13:L13"/>
    <mergeCell ref="M13:M14"/>
    <mergeCell ref="N13:N14"/>
    <mergeCell ref="I13:I14"/>
    <mergeCell ref="D25:I25"/>
  </mergeCells>
  <conditionalFormatting sqref="AB15:AB25">
    <cfRule type="cellIs" dxfId="39" priority="3" operator="equal">
      <formula>0</formula>
    </cfRule>
    <cfRule type="containsErrors" dxfId="38" priority="4">
      <formula>ISERROR(AB15)</formula>
    </cfRule>
  </conditionalFormatting>
  <conditionalFormatting sqref="AB28:AB41">
    <cfRule type="cellIs" dxfId="37" priority="1" operator="equal">
      <formula>0</formula>
    </cfRule>
    <cfRule type="containsErrors" dxfId="36" priority="2">
      <formula>ISERROR(AB28)</formula>
    </cfRule>
  </conditionalFormatting>
  <pageMargins left="0" right="0" top="0.78740157480314965" bottom="0.78740157480314965" header="0.31496062992125984" footer="0.31496062992125984"/>
  <pageSetup paperSize="8"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18</vt:i4>
      </vt:variant>
    </vt:vector>
  </HeadingPairs>
  <TitlesOfParts>
    <vt:vector size="36" baseType="lpstr">
      <vt:lpstr>CHK</vt:lpstr>
      <vt:lpstr>MěLe</vt:lpstr>
      <vt:lpstr>SOS</vt:lpstr>
      <vt:lpstr>ZOO</vt:lpstr>
      <vt:lpstr>TSmCh</vt:lpstr>
      <vt:lpstr>2.ZŠ</vt:lpstr>
      <vt:lpstr>3.ZŠ</vt:lpstr>
      <vt:lpstr>4.ZŠ</vt:lpstr>
      <vt:lpstr>5.ZŠ</vt:lpstr>
      <vt:lpstr>7.ZŠ</vt:lpstr>
      <vt:lpstr>8.ZŠ</vt:lpstr>
      <vt:lpstr>12.ZŠ</vt:lpstr>
      <vt:lpstr>13.ŽS</vt:lpstr>
      <vt:lpstr>MŠ</vt:lpstr>
      <vt:lpstr>ZŠSaMŠ</vt:lpstr>
      <vt:lpstr>ZŠaMŠ 17. list</vt:lpstr>
      <vt:lpstr>SVČ</vt:lpstr>
      <vt:lpstr>ZUŠ</vt:lpstr>
      <vt:lpstr>'12.ZŠ'!Oblast_tisku</vt:lpstr>
      <vt:lpstr>'13.ŽS'!Oblast_tisku</vt:lpstr>
      <vt:lpstr>'2.ZŠ'!Oblast_tisku</vt:lpstr>
      <vt:lpstr>'3.ZŠ'!Oblast_tisku</vt:lpstr>
      <vt:lpstr>'4.ZŠ'!Oblast_tisku</vt:lpstr>
      <vt:lpstr>'5.ZŠ'!Oblast_tisku</vt:lpstr>
      <vt:lpstr>'7.ZŠ'!Oblast_tisku</vt:lpstr>
      <vt:lpstr>'8.ZŠ'!Oblast_tisku</vt:lpstr>
      <vt:lpstr>CHK!Oblast_tisku</vt:lpstr>
      <vt:lpstr>MěLe!Oblast_tisku</vt:lpstr>
      <vt:lpstr>MŠ!Oblast_tisku</vt:lpstr>
      <vt:lpstr>SOS!Oblast_tisku</vt:lpstr>
      <vt:lpstr>SVČ!Oblast_tisku</vt:lpstr>
      <vt:lpstr>TSmCh!Oblast_tisku</vt:lpstr>
      <vt:lpstr>ZOO!Oblast_tisku</vt:lpstr>
      <vt:lpstr>'ZŠaMŠ 17. list'!Oblast_tisku</vt:lpstr>
      <vt:lpstr>ZŠSaMŠ!Oblast_tisku</vt:lpstr>
      <vt:lpstr>ZUŠ!Oblast_tisku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Mareš Jan</dc:creator>
  <cp:lastModifiedBy>Mareš Jan</cp:lastModifiedBy>
  <dcterms:created xsi:type="dcterms:W3CDTF">2021-11-18T07:54:56Z</dcterms:created>
  <dcterms:modified xsi:type="dcterms:W3CDTF">2021-11-18T09:36:21Z</dcterms:modified>
</cp:coreProperties>
</file>