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8580"/>
  </bookViews>
  <sheets>
    <sheet name="RUD CV 2016" sheetId="2" r:id="rId1"/>
    <sheet name="Zdroj" sheetId="1" r:id="rId2"/>
  </sheets>
  <definedNames>
    <definedName name="Print_Titles" localSheetId="1">Zdroj!#REF!</definedName>
  </definedNames>
  <calcPr calcId="152511"/>
</workbook>
</file>

<file path=xl/calcChain.xml><?xml version="1.0" encoding="utf-8"?>
<calcChain xmlns="http://schemas.openxmlformats.org/spreadsheetml/2006/main">
  <c r="L10" i="2" l="1"/>
  <c r="K28" i="2" l="1"/>
  <c r="G28" i="2"/>
  <c r="G22" i="2"/>
  <c r="K33" i="2"/>
  <c r="L21" i="2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F5" i="1"/>
  <c r="G5" i="1"/>
  <c r="H5" i="1"/>
  <c r="J5" i="1"/>
  <c r="F6" i="1"/>
  <c r="G6" i="1"/>
  <c r="H6" i="1"/>
  <c r="J6" i="1"/>
  <c r="F7" i="1"/>
  <c r="G7" i="1"/>
  <c r="H28" i="2" s="1"/>
  <c r="H7" i="1"/>
  <c r="I28" i="2" s="1"/>
  <c r="J7" i="1"/>
  <c r="F8" i="1"/>
  <c r="G8" i="1"/>
  <c r="H8" i="1"/>
  <c r="J8" i="1"/>
  <c r="F9" i="1"/>
  <c r="G9" i="1"/>
  <c r="H9" i="1"/>
  <c r="J9" i="1"/>
  <c r="F10" i="1"/>
  <c r="G10" i="1"/>
  <c r="H10" i="1"/>
  <c r="J10" i="1"/>
  <c r="F11" i="1"/>
  <c r="G11" i="1"/>
  <c r="H11" i="1"/>
  <c r="J11" i="1"/>
  <c r="F12" i="1"/>
  <c r="G12" i="1"/>
  <c r="H12" i="1"/>
  <c r="J12" i="1"/>
  <c r="F13" i="1"/>
  <c r="G13" i="1"/>
  <c r="H13" i="1"/>
  <c r="J13" i="1"/>
  <c r="F14" i="1"/>
  <c r="G14" i="1"/>
  <c r="H14" i="1"/>
  <c r="J14" i="1"/>
  <c r="D15" i="1"/>
  <c r="F15" i="1"/>
  <c r="G15" i="1"/>
  <c r="H15" i="1"/>
  <c r="J15" i="1"/>
  <c r="F16" i="1"/>
  <c r="G16" i="1"/>
  <c r="H16" i="1"/>
  <c r="J16" i="1"/>
  <c r="C7" i="1"/>
  <c r="D28" i="2" s="1"/>
  <c r="F4" i="1"/>
  <c r="G4" i="1"/>
  <c r="H4" i="1"/>
  <c r="J4" i="1"/>
  <c r="E23" i="1"/>
  <c r="D23" i="1" s="1"/>
  <c r="D5" i="1" s="1"/>
  <c r="E24" i="1"/>
  <c r="D24" i="1" s="1"/>
  <c r="D6" i="1" s="1"/>
  <c r="E28" i="1"/>
  <c r="D28" i="1" s="1"/>
  <c r="D10" i="1" s="1"/>
  <c r="C30" i="1"/>
  <c r="I30" i="1" s="1"/>
  <c r="I12" i="1" s="1"/>
  <c r="E33" i="1"/>
  <c r="D33" i="1" s="1"/>
  <c r="C33" i="1"/>
  <c r="I33" i="1" s="1"/>
  <c r="I15" i="1" s="1"/>
  <c r="M53" i="1"/>
  <c r="E31" i="1" s="1"/>
  <c r="L53" i="1"/>
  <c r="C25" i="1" s="1"/>
  <c r="I25" i="1" s="1"/>
  <c r="I7" i="1" s="1"/>
  <c r="J28" i="2" s="1"/>
  <c r="D31" i="1" l="1"/>
  <c r="D13" i="1" s="1"/>
  <c r="E13" i="1"/>
  <c r="E32" i="1"/>
  <c r="E27" i="1"/>
  <c r="C22" i="1"/>
  <c r="E10" i="1"/>
  <c r="E6" i="1"/>
  <c r="C12" i="1"/>
  <c r="C15" i="1"/>
  <c r="E5" i="1"/>
  <c r="C26" i="1"/>
  <c r="E15" i="1"/>
  <c r="C31" i="1"/>
  <c r="C27" i="1"/>
  <c r="C23" i="1"/>
  <c r="C5" i="1" s="1"/>
  <c r="C32" i="1"/>
  <c r="E29" i="1"/>
  <c r="C28" i="1"/>
  <c r="E25" i="1"/>
  <c r="C24" i="1"/>
  <c r="C34" i="1"/>
  <c r="E34" i="1"/>
  <c r="E30" i="1"/>
  <c r="C29" i="1"/>
  <c r="E26" i="1"/>
  <c r="E22" i="1"/>
  <c r="M23" i="2"/>
  <c r="D30" i="1" l="1"/>
  <c r="D12" i="1" s="1"/>
  <c r="E12" i="1"/>
  <c r="D25" i="1"/>
  <c r="D7" i="1" s="1"/>
  <c r="E28" i="2" s="1"/>
  <c r="E7" i="1"/>
  <c r="F28" i="2" s="1"/>
  <c r="D22" i="1"/>
  <c r="D4" i="1" s="1"/>
  <c r="E4" i="1"/>
  <c r="D34" i="1"/>
  <c r="D16" i="1" s="1"/>
  <c r="E16" i="1"/>
  <c r="I27" i="1"/>
  <c r="I9" i="1" s="1"/>
  <c r="C9" i="1"/>
  <c r="I29" i="1"/>
  <c r="I11" i="1" s="1"/>
  <c r="C11" i="1"/>
  <c r="I24" i="1"/>
  <c r="I6" i="1" s="1"/>
  <c r="C6" i="1"/>
  <c r="I32" i="1"/>
  <c r="I14" i="1" s="1"/>
  <c r="C14" i="1"/>
  <c r="D27" i="1"/>
  <c r="D9" i="1" s="1"/>
  <c r="E9" i="1"/>
  <c r="I26" i="1"/>
  <c r="I8" i="1" s="1"/>
  <c r="C8" i="1"/>
  <c r="D32" i="1"/>
  <c r="D14" i="1" s="1"/>
  <c r="E14" i="1"/>
  <c r="I28" i="1"/>
  <c r="I10" i="1" s="1"/>
  <c r="C10" i="1"/>
  <c r="D26" i="1"/>
  <c r="D8" i="1" s="1"/>
  <c r="E8" i="1"/>
  <c r="I34" i="1"/>
  <c r="I16" i="1" s="1"/>
  <c r="C16" i="1"/>
  <c r="D29" i="1"/>
  <c r="D11" i="1" s="1"/>
  <c r="E11" i="1"/>
  <c r="I31" i="1"/>
  <c r="I13" i="1" s="1"/>
  <c r="C13" i="1"/>
  <c r="I22" i="1"/>
  <c r="I4" i="1" s="1"/>
  <c r="C4" i="1"/>
  <c r="I23" i="1"/>
  <c r="I5" i="1" s="1"/>
  <c r="D20" i="2"/>
  <c r="G24" i="2" l="1"/>
  <c r="G27" i="2" l="1"/>
  <c r="H27" i="2"/>
  <c r="I27" i="2"/>
  <c r="K27" i="2"/>
  <c r="W12" i="2" l="1"/>
  <c r="W11" i="2"/>
  <c r="W9" i="2"/>
  <c r="W8" i="2"/>
  <c r="K22" i="2"/>
  <c r="K24" i="2" s="1"/>
  <c r="H22" i="2"/>
  <c r="H24" i="2" s="1"/>
  <c r="I22" i="2"/>
  <c r="I24" i="2" s="1"/>
  <c r="D35" i="2"/>
  <c r="H29" i="2"/>
  <c r="K29" i="2"/>
  <c r="I29" i="2"/>
  <c r="G29" i="2"/>
  <c r="K20" i="2"/>
  <c r="K30" i="2" s="1"/>
  <c r="J20" i="2"/>
  <c r="I20" i="2"/>
  <c r="I30" i="2" s="1"/>
  <c r="H20" i="2"/>
  <c r="H30" i="2" s="1"/>
  <c r="G20" i="2"/>
  <c r="G30" i="2" s="1"/>
  <c r="F20" i="2"/>
  <c r="E20" i="2"/>
  <c r="L19" i="2"/>
  <c r="L18" i="2"/>
  <c r="L17" i="2"/>
  <c r="L16" i="2"/>
  <c r="L15" i="2"/>
  <c r="L14" i="2"/>
  <c r="L13" i="2"/>
  <c r="L12" i="2"/>
  <c r="L11" i="2"/>
  <c r="L9" i="2"/>
  <c r="L8" i="2"/>
  <c r="K36" i="2" l="1"/>
  <c r="X8" i="2"/>
  <c r="D27" i="2"/>
  <c r="X9" i="2"/>
  <c r="J22" i="2" s="1"/>
  <c r="J30" i="2"/>
  <c r="J27" i="2"/>
  <c r="X11" i="2"/>
  <c r="E22" i="2" s="1"/>
  <c r="E30" i="2"/>
  <c r="E27" i="2"/>
  <c r="X12" i="2"/>
  <c r="F22" i="2" s="1"/>
  <c r="F24" i="2" s="1"/>
  <c r="F27" i="2"/>
  <c r="K23" i="2"/>
  <c r="G23" i="2"/>
  <c r="I23" i="2"/>
  <c r="L36" i="2"/>
  <c r="H23" i="2"/>
  <c r="L20" i="2"/>
  <c r="G25" i="2"/>
  <c r="K25" i="2"/>
  <c r="H25" i="2"/>
  <c r="I25" i="2"/>
  <c r="E24" i="2" l="1"/>
  <c r="E25" i="2" s="1"/>
  <c r="J24" i="2"/>
  <c r="J25" i="2" s="1"/>
  <c r="D22" i="2"/>
  <c r="D30" i="2"/>
  <c r="K37" i="2"/>
  <c r="X10" i="2"/>
  <c r="F29" i="2"/>
  <c r="F30" i="2"/>
  <c r="J23" i="2"/>
  <c r="J29" i="2"/>
  <c r="L33" i="2"/>
  <c r="L28" i="2"/>
  <c r="D29" i="2"/>
  <c r="L26" i="2"/>
  <c r="L27" i="2" s="1"/>
  <c r="X13" i="2"/>
  <c r="E29" i="2"/>
  <c r="E23" i="2"/>
  <c r="L34" i="2"/>
  <c r="F23" i="2"/>
  <c r="D23" i="2" l="1"/>
  <c r="D24" i="2"/>
  <c r="D25" i="2" s="1"/>
  <c r="K34" i="2"/>
  <c r="L30" i="2"/>
  <c r="L29" i="2"/>
  <c r="L35" i="2"/>
  <c r="K35" i="2"/>
  <c r="L22" i="2"/>
  <c r="L23" i="2" s="1"/>
  <c r="N23" i="2" s="1"/>
  <c r="F25" i="2"/>
  <c r="L24" i="2" l="1"/>
  <c r="L25" i="2"/>
</calcChain>
</file>

<file path=xl/sharedStrings.xml><?xml version="1.0" encoding="utf-8"?>
<sst xmlns="http://schemas.openxmlformats.org/spreadsheetml/2006/main" count="238" uniqueCount="133">
  <si>
    <t>Pol</t>
  </si>
  <si>
    <t>Zkratka položky</t>
  </si>
  <si>
    <t>1111</t>
  </si>
  <si>
    <t>Daň z příjmů FO závislá čin. a požitky</t>
  </si>
  <si>
    <t>1112</t>
  </si>
  <si>
    <t>Daň z příjmů OSVČ</t>
  </si>
  <si>
    <t>DPH</t>
  </si>
  <si>
    <t>Upravený rozpočet</t>
  </si>
  <si>
    <t>Příjmy tř. 1</t>
  </si>
  <si>
    <t>karta PPR</t>
  </si>
  <si>
    <t>103/123</t>
  </si>
  <si>
    <t>103/126</t>
  </si>
  <si>
    <t>103/125</t>
  </si>
  <si>
    <t>103/12</t>
  </si>
  <si>
    <t>103/14</t>
  </si>
  <si>
    <t>103/13</t>
  </si>
  <si>
    <t>103/124</t>
  </si>
  <si>
    <t>103/16</t>
  </si>
  <si>
    <t>v tis. Kč/položka</t>
  </si>
  <si>
    <t>pol. 1111</t>
  </si>
  <si>
    <t>pol. 1112</t>
  </si>
  <si>
    <t>pol. 1113</t>
  </si>
  <si>
    <t>pol. 1121</t>
  </si>
  <si>
    <t>pol. 1211</t>
  </si>
  <si>
    <t>pol. 1511</t>
  </si>
  <si>
    <t>číslo řádku</t>
  </si>
  <si>
    <t>ř. 1a</t>
  </si>
  <si>
    <t>ř. 3</t>
  </si>
  <si>
    <t>ř. 2</t>
  </si>
  <si>
    <t>ř. 4</t>
  </si>
  <si>
    <t>ř. 6</t>
  </si>
  <si>
    <t>ř. 5</t>
  </si>
  <si>
    <t>ř. 1 b</t>
  </si>
  <si>
    <t>ř. 20</t>
  </si>
  <si>
    <t>Měsíc</t>
  </si>
  <si>
    <t>DP FO ZČ</t>
  </si>
  <si>
    <t>DPFO</t>
  </si>
  <si>
    <t>DPFO - 30%</t>
  </si>
  <si>
    <t>DPFO-srážka</t>
  </si>
  <si>
    <t>DPPO</t>
  </si>
  <si>
    <t>DPFO 1,5%</t>
  </si>
  <si>
    <t>Daň z nemovitosti</t>
  </si>
  <si>
    <t>Celkem</t>
  </si>
  <si>
    <t>Leden</t>
  </si>
  <si>
    <t>Únor</t>
  </si>
  <si>
    <t>Březen</t>
  </si>
  <si>
    <t>Duben</t>
  </si>
  <si>
    <t>Květen</t>
  </si>
  <si>
    <t>Červen</t>
  </si>
  <si>
    <t>Červenec</t>
  </si>
  <si>
    <t xml:space="preserve">Srpen </t>
  </si>
  <si>
    <t>Září</t>
  </si>
  <si>
    <t>Říjen</t>
  </si>
  <si>
    <t>Listopad</t>
  </si>
  <si>
    <t>Prosinec</t>
  </si>
  <si>
    <t>SR 2015</t>
  </si>
  <si>
    <t>UR 2015</t>
  </si>
  <si>
    <t>% plnění</t>
  </si>
  <si>
    <t xml:space="preserve">Rozdíl SK-PL </t>
  </si>
  <si>
    <t>tis. Kč</t>
  </si>
  <si>
    <t>RM</t>
  </si>
  <si>
    <t>ZM</t>
  </si>
  <si>
    <t>Rozdíl = UR-SR</t>
  </si>
  <si>
    <t>CELKEM</t>
  </si>
  <si>
    <t xml:space="preserve">SK </t>
  </si>
  <si>
    <t>SK daní celkem</t>
  </si>
  <si>
    <t>Rekapitulace meziměsíční změny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</si>
  <si>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</si>
  <si>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</si>
  <si>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</si>
  <si>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</si>
  <si>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</si>
  <si>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</si>
  <si>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</si>
  <si>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</si>
  <si>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</si>
  <si>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 xml:space="preserve">říjen </t>
  </si>
  <si>
    <t>listopad</t>
  </si>
  <si>
    <t>prosinec</t>
  </si>
  <si>
    <t>UR 2016</t>
  </si>
  <si>
    <t>Daňový příjem</t>
  </si>
  <si>
    <t>SR 2016 (mld.)</t>
  </si>
  <si>
    <t xml:space="preserve"> město (mil.)</t>
  </si>
  <si>
    <t>DPFO zč -1111</t>
  </si>
  <si>
    <t>Motivační DPFOzč.(1,5%)</t>
  </si>
  <si>
    <t>DPFO zč -1111 vč. motiv</t>
  </si>
  <si>
    <t>DPFO sč - 1112 - 23,58%</t>
  </si>
  <si>
    <t>DPFO sč - 1112 -30%</t>
  </si>
  <si>
    <t>DPFO sč - 1112</t>
  </si>
  <si>
    <t>DPFO vyb. srážkou 1113</t>
  </si>
  <si>
    <t>DPPO - 1121</t>
  </si>
  <si>
    <t>DPH - 1211</t>
  </si>
  <si>
    <r>
      <t xml:space="preserve">Poznámka: </t>
    </r>
    <r>
      <rPr>
        <b/>
        <sz val="9"/>
        <rFont val="Calibri"/>
        <family val="2"/>
        <charset val="238"/>
        <scheme val="minor"/>
      </rPr>
      <t>navýšení o</t>
    </r>
  </si>
  <si>
    <t>Stav ke dni:</t>
  </si>
  <si>
    <t>DPFO - srážka</t>
  </si>
  <si>
    <t>sdílené daně</t>
  </si>
  <si>
    <t>výlučné daně</t>
  </si>
  <si>
    <t>SK 01/2015</t>
  </si>
  <si>
    <t>SK 03/2015</t>
  </si>
  <si>
    <t>SK 02/2015</t>
  </si>
  <si>
    <t>SK 04/2015</t>
  </si>
  <si>
    <t>SK 05/2015</t>
  </si>
  <si>
    <t>SK 06/2015</t>
  </si>
  <si>
    <t>SK 07/2015</t>
  </si>
  <si>
    <t>SK 08/2015</t>
  </si>
  <si>
    <t>SK 09/2015</t>
  </si>
  <si>
    <t>SK 10/2015</t>
  </si>
  <si>
    <t>SK 11/2015</t>
  </si>
  <si>
    <t>SK 12/2015</t>
  </si>
  <si>
    <t>Plán k datu (PL) = x/12</t>
  </si>
  <si>
    <t>x/12</t>
  </si>
  <si>
    <t>Ing. Jan Mareš</t>
  </si>
  <si>
    <t>vedoucí odboru ekonomiky</t>
  </si>
  <si>
    <t>Přehled o plnění vybraných daní v roce 2017</t>
  </si>
  <si>
    <t>(pořadová čísla k tabulce "Příjmová část rozpočtu roku 2017 - MMCH)</t>
  </si>
  <si>
    <t>SK 2017 - SK 2016</t>
  </si>
  <si>
    <t>Meziroční změna                 2017-2016 v mil. Kč</t>
  </si>
  <si>
    <t>SK 01/2016</t>
  </si>
  <si>
    <t>SK 02/2016</t>
  </si>
  <si>
    <t>SK 03/2016</t>
  </si>
  <si>
    <t>SK 04/2016</t>
  </si>
  <si>
    <t>SK 05/2016</t>
  </si>
  <si>
    <t>SK 06/2016</t>
  </si>
  <si>
    <t>SK 07/2016</t>
  </si>
  <si>
    <t>SK 08/2016</t>
  </si>
  <si>
    <t>SK 09/2016</t>
  </si>
  <si>
    <t>SK 10/2016</t>
  </si>
  <si>
    <t>SK 11/2016</t>
  </si>
  <si>
    <t>SK 12/2016</t>
  </si>
  <si>
    <t>SR 2017</t>
  </si>
  <si>
    <t>UR 2017</t>
  </si>
  <si>
    <t xml:space="preserve">Zpracováno dne: </t>
  </si>
  <si>
    <t>SK k 31.05.2017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</si>
</sst>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/yyyy"/>
    <numFmt numFmtId="165" formatCode="0.00_ ;[Red]\-0.00\ "/>
  </numFmts>
  <fonts count="25" x14ac:knownFonts="1">
    <font>
      <sz val="9.75"/>
      <name val="Times New Roman"/>
    </font>
    <font>
      <b/>
      <sz val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 CE"/>
      <charset val="238"/>
    </font>
    <font>
      <sz val="9.75"/>
      <name val="Calibri"/>
      <family val="2"/>
      <charset val="238"/>
      <scheme val="minor"/>
    </font>
    <font>
      <sz val="9.75"/>
      <color theme="0"/>
      <name val="Calibri"/>
      <family val="2"/>
      <charset val="238"/>
      <scheme val="minor"/>
    </font>
    <font>
      <b/>
      <i/>
      <sz val="10"/>
      <color indexed="9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9.7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.75"/>
      <name val="Times New Roman"/>
      <family val="1"/>
      <charset val="238"/>
    </font>
    <font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22" fillId="0" borderId="0"/>
  </cellStyleXfs>
  <cellXfs count="189">
    <xf numFmtId="0" fontId="0" fillId="0" borderId="0" xfId="0" applyProtection="1"/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2" fillId="0" borderId="0" xfId="0" applyFont="1" applyFill="1"/>
    <xf numFmtId="0" fontId="5" fillId="0" borderId="0" xfId="0" applyFont="1" applyBorder="1"/>
    <xf numFmtId="0" fontId="2" fillId="0" borderId="0" xfId="0" applyFont="1" applyFill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" fontId="6" fillId="6" borderId="22" xfId="0" applyNumberFormat="1" applyFont="1" applyFill="1" applyBorder="1" applyAlignment="1">
      <alignment horizontal="right"/>
    </xf>
    <xf numFmtId="0" fontId="6" fillId="7" borderId="11" xfId="0" applyFont="1" applyFill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6" fillId="6" borderId="22" xfId="0" applyFont="1" applyFill="1" applyBorder="1" applyAlignment="1">
      <alignment horizontal="left" indent="1"/>
    </xf>
    <xf numFmtId="4" fontId="6" fillId="6" borderId="23" xfId="0" applyNumberFormat="1" applyFont="1" applyFill="1" applyBorder="1" applyAlignment="1">
      <alignment horizontal="right"/>
    </xf>
    <xf numFmtId="4" fontId="6" fillId="6" borderId="2" xfId="0" applyNumberFormat="1" applyFont="1" applyFill="1" applyBorder="1" applyAlignment="1">
      <alignment horizontal="right"/>
    </xf>
    <xf numFmtId="4" fontId="6" fillId="6" borderId="24" xfId="0" applyNumberFormat="1" applyFont="1" applyFill="1" applyBorder="1" applyAlignment="1">
      <alignment horizontal="right"/>
    </xf>
    <xf numFmtId="0" fontId="6" fillId="0" borderId="29" xfId="0" applyFont="1" applyBorder="1" applyAlignment="1">
      <alignment horizontal="left" indent="1"/>
    </xf>
    <xf numFmtId="4" fontId="2" fillId="8" borderId="30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31" xfId="0" applyNumberFormat="1" applyFont="1" applyFill="1" applyBorder="1" applyAlignment="1">
      <alignment horizontal="right"/>
    </xf>
    <xf numFmtId="4" fontId="2" fillId="8" borderId="32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" fontId="9" fillId="0" borderId="0" xfId="0" applyNumberFormat="1" applyFont="1"/>
    <xf numFmtId="0" fontId="9" fillId="0" borderId="0" xfId="0" applyFont="1"/>
    <xf numFmtId="4" fontId="9" fillId="0" borderId="0" xfId="0" applyNumberFormat="1" applyFont="1" applyFill="1" applyBorder="1"/>
    <xf numFmtId="0" fontId="9" fillId="0" borderId="27" xfId="0" applyFont="1" applyBorder="1" applyAlignment="1">
      <alignment horizontal="center"/>
    </xf>
    <xf numFmtId="0" fontId="11" fillId="0" borderId="39" xfId="0" applyFont="1" applyBorder="1"/>
    <xf numFmtId="0" fontId="9" fillId="0" borderId="31" xfId="0" applyFont="1" applyBorder="1" applyAlignment="1">
      <alignment horizontal="center"/>
    </xf>
    <xf numFmtId="0" fontId="12" fillId="0" borderId="40" xfId="0" applyFont="1" applyBorder="1"/>
    <xf numFmtId="0" fontId="10" fillId="0" borderId="35" xfId="0" applyFont="1" applyBorder="1" applyAlignment="1">
      <alignment horizontal="center"/>
    </xf>
    <xf numFmtId="0" fontId="9" fillId="0" borderId="0" xfId="0" applyFont="1" applyFill="1"/>
    <xf numFmtId="10" fontId="2" fillId="0" borderId="0" xfId="0" applyNumberFormat="1" applyFont="1"/>
    <xf numFmtId="4" fontId="2" fillId="6" borderId="16" xfId="0" applyNumberFormat="1" applyFont="1" applyFill="1" applyBorder="1" applyAlignment="1">
      <alignment horizontal="right"/>
    </xf>
    <xf numFmtId="0" fontId="6" fillId="6" borderId="33" xfId="0" applyFont="1" applyFill="1" applyBorder="1" applyAlignment="1">
      <alignment horizontal="left" indent="1"/>
    </xf>
    <xf numFmtId="4" fontId="6" fillId="6" borderId="46" xfId="0" applyNumberFormat="1" applyFont="1" applyFill="1" applyBorder="1" applyAlignment="1">
      <alignment horizontal="right"/>
    </xf>
    <xf numFmtId="4" fontId="2" fillId="6" borderId="34" xfId="0" applyNumberFormat="1" applyFont="1" applyFill="1" applyBorder="1" applyAlignment="1">
      <alignment horizontal="right"/>
    </xf>
    <xf numFmtId="4" fontId="2" fillId="6" borderId="35" xfId="0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left" indent="1"/>
    </xf>
    <xf numFmtId="0" fontId="6" fillId="7" borderId="14" xfId="0" applyFont="1" applyFill="1" applyBorder="1" applyAlignment="1">
      <alignment horizontal="left" indent="1"/>
    </xf>
    <xf numFmtId="4" fontId="6" fillId="7" borderId="11" xfId="0" applyNumberFormat="1" applyFont="1" applyFill="1" applyBorder="1" applyAlignment="1">
      <alignment horizontal="right"/>
    </xf>
    <xf numFmtId="0" fontId="6" fillId="4" borderId="18" xfId="0" applyFont="1" applyFill="1" applyBorder="1" applyAlignment="1">
      <alignment horizontal="left" indent="1"/>
    </xf>
    <xf numFmtId="4" fontId="6" fillId="4" borderId="19" xfId="0" applyNumberFormat="1" applyFont="1" applyFill="1" applyBorder="1" applyAlignment="1">
      <alignment horizontal="right"/>
    </xf>
    <xf numFmtId="4" fontId="6" fillId="4" borderId="20" xfId="0" applyNumberFormat="1" applyFont="1" applyFill="1" applyBorder="1" applyAlignment="1">
      <alignment horizontal="right"/>
    </xf>
    <xf numFmtId="4" fontId="6" fillId="4" borderId="21" xfId="0" applyNumberFormat="1" applyFont="1" applyFill="1" applyBorder="1" applyAlignment="1">
      <alignment horizontal="right"/>
    </xf>
    <xf numFmtId="4" fontId="6" fillId="4" borderId="18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left" indent="1"/>
    </xf>
    <xf numFmtId="4" fontId="2" fillId="0" borderId="1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4" fontId="6" fillId="7" borderId="2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0" fontId="2" fillId="13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14" fillId="0" borderId="0" xfId="0" applyFont="1"/>
    <xf numFmtId="0" fontId="14" fillId="0" borderId="0" xfId="0" applyFont="1" applyProtection="1"/>
    <xf numFmtId="0" fontId="15" fillId="0" borderId="0" xfId="0" applyFont="1" applyProtection="1"/>
    <xf numFmtId="10" fontId="14" fillId="0" borderId="0" xfId="0" applyNumberFormat="1" applyFont="1" applyProtection="1"/>
    <xf numFmtId="0" fontId="16" fillId="10" borderId="41" xfId="1" applyFont="1" applyFill="1" applyBorder="1"/>
    <xf numFmtId="0" fontId="16" fillId="10" borderId="3" xfId="1" applyFont="1" applyFill="1" applyBorder="1" applyAlignment="1">
      <alignment horizontal="center"/>
    </xf>
    <xf numFmtId="0" fontId="2" fillId="0" borderId="0" xfId="1" applyFont="1" applyBorder="1"/>
    <xf numFmtId="4" fontId="2" fillId="0" borderId="42" xfId="1" applyNumberFormat="1" applyFont="1" applyBorder="1"/>
    <xf numFmtId="4" fontId="2" fillId="0" borderId="43" xfId="1" applyNumberFormat="1" applyFont="1" applyFill="1" applyBorder="1"/>
    <xf numFmtId="0" fontId="2" fillId="11" borderId="0" xfId="1" applyFont="1" applyFill="1" applyBorder="1"/>
    <xf numFmtId="4" fontId="2" fillId="11" borderId="44" xfId="1" applyNumberFormat="1" applyFont="1" applyFill="1" applyBorder="1"/>
    <xf numFmtId="4" fontId="2" fillId="11" borderId="43" xfId="1" applyNumberFormat="1" applyFont="1" applyFill="1" applyBorder="1"/>
    <xf numFmtId="0" fontId="6" fillId="0" borderId="0" xfId="1" applyFont="1" applyBorder="1"/>
    <xf numFmtId="4" fontId="6" fillId="0" borderId="44" xfId="1" applyNumberFormat="1" applyFont="1" applyBorder="1"/>
    <xf numFmtId="4" fontId="6" fillId="0" borderId="43" xfId="1" applyNumberFormat="1" applyFont="1" applyFill="1" applyBorder="1"/>
    <xf numFmtId="4" fontId="2" fillId="0" borderId="44" xfId="1" applyNumberFormat="1" applyFont="1" applyBorder="1"/>
    <xf numFmtId="0" fontId="6" fillId="11" borderId="0" xfId="1" applyFont="1" applyFill="1" applyBorder="1"/>
    <xf numFmtId="4" fontId="6" fillId="11" borderId="44" xfId="1" applyNumberFormat="1" applyFont="1" applyFill="1" applyBorder="1"/>
    <xf numFmtId="4" fontId="6" fillId="11" borderId="43" xfId="1" applyNumberFormat="1" applyFont="1" applyFill="1" applyBorder="1"/>
    <xf numFmtId="4" fontId="6" fillId="0" borderId="45" xfId="1" applyNumberFormat="1" applyFont="1" applyBorder="1"/>
    <xf numFmtId="0" fontId="15" fillId="0" borderId="0" xfId="0" applyFont="1" applyAlignment="1" applyProtection="1">
      <alignment vertical="center" wrapText="1"/>
    </xf>
    <xf numFmtId="4" fontId="17" fillId="10" borderId="41" xfId="1" applyNumberFormat="1" applyFont="1" applyFill="1" applyBorder="1"/>
    <xf numFmtId="4" fontId="17" fillId="10" borderId="3" xfId="1" applyNumberFormat="1" applyFont="1" applyFill="1" applyBorder="1"/>
    <xf numFmtId="0" fontId="14" fillId="0" borderId="0" xfId="0" applyFont="1" applyAlignment="1">
      <alignment vertical="center" wrapText="1"/>
    </xf>
    <xf numFmtId="0" fontId="9" fillId="0" borderId="38" xfId="0" applyFont="1" applyBorder="1" applyAlignment="1">
      <alignment horizontal="left" indent="1"/>
    </xf>
    <xf numFmtId="0" fontId="9" fillId="0" borderId="1" xfId="0" applyFont="1" applyBorder="1" applyAlignment="1">
      <alignment horizontal="center"/>
    </xf>
    <xf numFmtId="4" fontId="9" fillId="0" borderId="26" xfId="0" applyNumberFormat="1" applyFont="1" applyBorder="1"/>
    <xf numFmtId="0" fontId="9" fillId="0" borderId="9" xfId="0" applyFont="1" applyBorder="1" applyAlignment="1">
      <alignment horizontal="center"/>
    </xf>
    <xf numFmtId="4" fontId="9" fillId="0" borderId="30" xfId="0" applyNumberFormat="1" applyFont="1" applyBorder="1"/>
    <xf numFmtId="4" fontId="10" fillId="0" borderId="34" xfId="0" applyNumberFormat="1" applyFont="1" applyBorder="1"/>
    <xf numFmtId="0" fontId="10" fillId="0" borderId="16" xfId="0" applyFont="1" applyBorder="1" applyAlignment="1">
      <alignment horizontal="center"/>
    </xf>
    <xf numFmtId="0" fontId="10" fillId="0" borderId="25" xfId="0" applyFont="1" applyBorder="1" applyAlignment="1">
      <alignment horizontal="left" indent="1"/>
    </xf>
    <xf numFmtId="0" fontId="10" fillId="0" borderId="29" xfId="0" applyFont="1" applyBorder="1" applyAlignment="1">
      <alignment horizontal="left" indent="1"/>
    </xf>
    <xf numFmtId="0" fontId="9" fillId="0" borderId="29" xfId="0" applyFont="1" applyBorder="1" applyAlignment="1">
      <alignment horizontal="left" wrapText="1" indent="1"/>
    </xf>
    <xf numFmtId="0" fontId="9" fillId="0" borderId="50" xfId="0" applyFont="1" applyBorder="1" applyAlignment="1">
      <alignment horizontal="left" indent="1"/>
    </xf>
    <xf numFmtId="0" fontId="18" fillId="14" borderId="40" xfId="0" applyFont="1" applyFill="1" applyBorder="1" applyAlignment="1">
      <alignment horizontal="left" indent="1"/>
    </xf>
    <xf numFmtId="4" fontId="18" fillId="14" borderId="36" xfId="0" applyNumberFormat="1" applyFont="1" applyFill="1" applyBorder="1" applyAlignment="1">
      <alignment horizontal="right"/>
    </xf>
    <xf numFmtId="4" fontId="18" fillId="14" borderId="37" xfId="0" applyNumberFormat="1" applyFont="1" applyFill="1" applyBorder="1" applyAlignment="1">
      <alignment horizontal="right"/>
    </xf>
    <xf numFmtId="4" fontId="18" fillId="14" borderId="45" xfId="0" applyNumberFormat="1" applyFont="1" applyFill="1" applyBorder="1" applyAlignment="1">
      <alignment horizontal="right"/>
    </xf>
    <xf numFmtId="4" fontId="18" fillId="14" borderId="47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7" borderId="51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left" indent="1"/>
    </xf>
    <xf numFmtId="4" fontId="6" fillId="4" borderId="1" xfId="0" applyNumberFormat="1" applyFont="1" applyFill="1" applyBorder="1" applyAlignment="1">
      <alignment horizontal="right"/>
    </xf>
    <xf numFmtId="4" fontId="6" fillId="4" borderId="32" xfId="0" applyNumberFormat="1" applyFont="1" applyFill="1" applyBorder="1" applyAlignment="1">
      <alignment horizontal="right"/>
    </xf>
    <xf numFmtId="0" fontId="6" fillId="7" borderId="25" xfId="0" applyFont="1" applyFill="1" applyBorder="1" applyAlignment="1">
      <alignment horizontal="left" indent="1"/>
    </xf>
    <xf numFmtId="4" fontId="6" fillId="7" borderId="26" xfId="0" applyNumberFormat="1" applyFont="1" applyFill="1" applyBorder="1" applyAlignment="1">
      <alignment horizontal="right"/>
    </xf>
    <xf numFmtId="4" fontId="6" fillId="7" borderId="9" xfId="0" applyNumberFormat="1" applyFont="1" applyFill="1" applyBorder="1" applyAlignment="1">
      <alignment horizontal="right"/>
    </xf>
    <xf numFmtId="4" fontId="6" fillId="7" borderId="27" xfId="0" applyNumberFormat="1" applyFont="1" applyFill="1" applyBorder="1" applyAlignment="1">
      <alignment horizontal="right"/>
    </xf>
    <xf numFmtId="4" fontId="6" fillId="7" borderId="28" xfId="0" applyNumberFormat="1" applyFont="1" applyFill="1" applyBorder="1" applyAlignment="1">
      <alignment horizontal="right"/>
    </xf>
    <xf numFmtId="4" fontId="6" fillId="7" borderId="12" xfId="0" applyNumberFormat="1" applyFont="1" applyFill="1" applyBorder="1" applyAlignment="1">
      <alignment horizontal="right"/>
    </xf>
    <xf numFmtId="4" fontId="6" fillId="7" borderId="1" xfId="0" applyNumberFormat="1" applyFont="1" applyFill="1" applyBorder="1" applyAlignment="1">
      <alignment horizontal="right"/>
    </xf>
    <xf numFmtId="4" fontId="6" fillId="7" borderId="13" xfId="0" applyNumberFormat="1" applyFont="1" applyFill="1" applyBorder="1" applyAlignment="1">
      <alignment horizontal="right"/>
    </xf>
    <xf numFmtId="4" fontId="2" fillId="0" borderId="22" xfId="0" applyNumberFormat="1" applyFont="1" applyFill="1" applyBorder="1" applyAlignment="1">
      <alignment horizontal="right"/>
    </xf>
    <xf numFmtId="0" fontId="21" fillId="0" borderId="0" xfId="0" applyFont="1"/>
    <xf numFmtId="0" fontId="9" fillId="0" borderId="0" xfId="0" applyFont="1" applyFill="1" applyBorder="1"/>
    <xf numFmtId="4" fontId="6" fillId="0" borderId="22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4" fontId="14" fillId="0" borderId="0" xfId="0" applyNumberFormat="1" applyFont="1" applyProtection="1"/>
    <xf numFmtId="49" fontId="14" fillId="0" borderId="0" xfId="0" applyNumberFormat="1" applyFont="1" applyAlignment="1" applyProtection="1">
      <alignment vertical="center"/>
    </xf>
    <xf numFmtId="49" fontId="20" fillId="2" borderId="0" xfId="0" applyNumberFormat="1" applyFont="1" applyFill="1" applyAlignment="1" applyProtection="1">
      <alignment horizontal="left" vertical="center" wrapText="1"/>
    </xf>
    <xf numFmtId="4" fontId="20" fillId="2" borderId="0" xfId="0" applyNumberFormat="1" applyFont="1" applyFill="1" applyAlignment="1" applyProtection="1">
      <alignment horizontal="left" vertical="center" wrapText="1"/>
    </xf>
    <xf numFmtId="4" fontId="14" fillId="0" borderId="0" xfId="0" applyNumberFormat="1" applyFont="1" applyAlignment="1" applyProtection="1">
      <alignment vertical="center"/>
    </xf>
    <xf numFmtId="164" fontId="20" fillId="2" borderId="0" xfId="0" applyNumberFormat="1" applyFont="1" applyFill="1" applyAlignment="1" applyProtection="1">
      <alignment horizontal="left" vertical="center" wrapText="1" indent="1"/>
    </xf>
    <xf numFmtId="0" fontId="14" fillId="0" borderId="0" xfId="0" applyNumberFormat="1" applyFont="1" applyAlignment="1" applyProtection="1">
      <alignment vertical="center"/>
    </xf>
    <xf numFmtId="0" fontId="20" fillId="2" borderId="0" xfId="0" applyNumberFormat="1" applyFont="1" applyFill="1" applyAlignment="1" applyProtection="1">
      <alignment horizontal="left" vertical="center" wrapText="1"/>
    </xf>
    <xf numFmtId="0" fontId="20" fillId="2" borderId="0" xfId="0" applyNumberFormat="1" applyFont="1" applyFill="1" applyAlignment="1" applyProtection="1">
      <alignment horizontal="left" vertical="center" wrapText="1" indent="1"/>
    </xf>
    <xf numFmtId="0" fontId="0" fillId="0" borderId="0" xfId="0" applyNumberFormat="1" applyAlignment="1" applyProtection="1">
      <alignment vertical="center"/>
    </xf>
    <xf numFmtId="0" fontId="10" fillId="9" borderId="3" xfId="0" applyFont="1" applyFill="1" applyBorder="1" applyAlignment="1">
      <alignment horizontal="left" vertical="center" wrapText="1" indent="1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6" fillId="7" borderId="7" xfId="0" applyNumberFormat="1" applyFont="1" applyFill="1" applyBorder="1" applyAlignment="1">
      <alignment horizontal="right"/>
    </xf>
    <xf numFmtId="4" fontId="6" fillId="13" borderId="48" xfId="0" applyNumberFormat="1" applyFont="1" applyFill="1" applyBorder="1" applyAlignment="1">
      <alignment horizontal="right"/>
    </xf>
    <xf numFmtId="4" fontId="9" fillId="13" borderId="25" xfId="0" applyNumberFormat="1" applyFont="1" applyFill="1" applyBorder="1"/>
    <xf numFmtId="4" fontId="9" fillId="13" borderId="29" xfId="0" applyNumberFormat="1" applyFont="1" applyFill="1" applyBorder="1"/>
    <xf numFmtId="4" fontId="9" fillId="13" borderId="33" xfId="0" applyNumberFormat="1" applyFont="1" applyFill="1" applyBorder="1"/>
    <xf numFmtId="4" fontId="6" fillId="12" borderId="3" xfId="0" applyNumberFormat="1" applyFont="1" applyFill="1" applyBorder="1" applyAlignment="1">
      <alignment horizontal="right"/>
    </xf>
    <xf numFmtId="4" fontId="9" fillId="12" borderId="7" xfId="0" applyNumberFormat="1" applyFont="1" applyFill="1" applyBorder="1"/>
    <xf numFmtId="4" fontId="9" fillId="12" borderId="11" xfId="0" applyNumberFormat="1" applyFont="1" applyFill="1" applyBorder="1"/>
    <xf numFmtId="4" fontId="9" fillId="12" borderId="14" xfId="0" applyNumberFormat="1" applyFont="1" applyFill="1" applyBorder="1"/>
    <xf numFmtId="4" fontId="19" fillId="0" borderId="15" xfId="2" applyNumberFormat="1" applyFont="1" applyBorder="1" applyAlignment="1">
      <alignment horizontal="right"/>
    </xf>
    <xf numFmtId="4" fontId="19" fillId="0" borderId="16" xfId="2" applyNumberFormat="1" applyFont="1" applyBorder="1" applyAlignment="1">
      <alignment horizontal="right"/>
    </xf>
    <xf numFmtId="4" fontId="19" fillId="0" borderId="17" xfId="2" applyNumberFormat="1" applyFont="1" applyBorder="1" applyAlignment="1">
      <alignment horizontal="right"/>
    </xf>
    <xf numFmtId="10" fontId="23" fillId="8" borderId="0" xfId="0" applyNumberFormat="1" applyFont="1" applyFill="1" applyBorder="1" applyAlignment="1">
      <alignment horizontal="right"/>
    </xf>
    <xf numFmtId="0" fontId="20" fillId="0" borderId="0" xfId="0" applyFont="1" applyProtection="1"/>
    <xf numFmtId="10" fontId="19" fillId="0" borderId="12" xfId="0" applyNumberFormat="1" applyFont="1" applyBorder="1" applyAlignment="1">
      <alignment horizontal="right"/>
    </xf>
    <xf numFmtId="10" fontId="8" fillId="0" borderId="11" xfId="0" applyNumberFormat="1" applyFont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4" fontId="14" fillId="15" borderId="0" xfId="0" applyNumberFormat="1" applyFont="1" applyFill="1" applyAlignment="1" applyProtection="1">
      <alignment vertical="center"/>
    </xf>
    <xf numFmtId="4" fontId="0" fillId="15" borderId="0" xfId="0" applyNumberFormat="1" applyFill="1" applyAlignment="1" applyProtection="1">
      <alignment vertical="center"/>
    </xf>
    <xf numFmtId="4" fontId="0" fillId="0" borderId="0" xfId="0" applyNumberFormat="1" applyAlignment="1" applyProtection="1">
      <alignment vertical="center" wrapText="1"/>
    </xf>
    <xf numFmtId="4" fontId="24" fillId="0" borderId="12" xfId="0" applyNumberFormat="1" applyFont="1" applyBorder="1" applyAlignment="1">
      <alignment horizontal="right"/>
    </xf>
    <xf numFmtId="4" fontId="24" fillId="0" borderId="1" xfId="0" applyNumberFormat="1" applyFont="1" applyBorder="1" applyAlignment="1">
      <alignment horizontal="right"/>
    </xf>
    <xf numFmtId="4" fontId="24" fillId="0" borderId="13" xfId="0" applyNumberFormat="1" applyFont="1" applyBorder="1" applyAlignment="1">
      <alignment horizontal="right"/>
    </xf>
    <xf numFmtId="4" fontId="19" fillId="0" borderId="12" xfId="0" applyNumberFormat="1" applyFont="1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9" fillId="0" borderId="13" xfId="0" applyNumberFormat="1" applyFont="1" applyBorder="1" applyAlignment="1">
      <alignment horizontal="right"/>
    </xf>
    <xf numFmtId="4" fontId="8" fillId="7" borderId="11" xfId="0" applyNumberFormat="1" applyFont="1" applyFill="1" applyBorder="1" applyAlignment="1">
      <alignment horizontal="right"/>
    </xf>
    <xf numFmtId="4" fontId="3" fillId="9" borderId="48" xfId="0" applyNumberFormat="1" applyFont="1" applyFill="1" applyBorder="1" applyAlignment="1">
      <alignment horizontal="center" vertical="center"/>
    </xf>
    <xf numFmtId="4" fontId="3" fillId="9" borderId="49" xfId="0" applyNumberFormat="1" applyFont="1" applyFill="1" applyBorder="1" applyAlignment="1">
      <alignment horizontal="center" vertical="center"/>
    </xf>
    <xf numFmtId="0" fontId="20" fillId="0" borderId="52" xfId="0" applyFont="1" applyBorder="1" applyAlignment="1" applyProtection="1">
      <alignment horizontal="center" vertical="center" textRotation="90"/>
    </xf>
    <xf numFmtId="0" fontId="20" fillId="0" borderId="43" xfId="0" applyFont="1" applyBorder="1" applyAlignment="1" applyProtection="1">
      <alignment horizontal="center" vertical="center" textRotation="90"/>
    </xf>
    <xf numFmtId="0" fontId="20" fillId="0" borderId="53" xfId="0" applyFont="1" applyBorder="1" applyAlignment="1" applyProtection="1">
      <alignment horizontal="center" vertical="center" textRotation="90"/>
    </xf>
    <xf numFmtId="0" fontId="6" fillId="0" borderId="2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4" fontId="6" fillId="7" borderId="14" xfId="0" applyNumberFormat="1" applyFont="1" applyFill="1" applyBorder="1" applyAlignment="1">
      <alignment horizontal="right"/>
    </xf>
  </cellXfs>
  <cellStyles count="3">
    <cellStyle name="Normální" xfId="0" builtinId="0"/>
    <cellStyle name="Normální 2" xfId="2"/>
    <cellStyle name="normální_APR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16" fmlaLink="C28" fmlaRange="Zdroj!$A$23:$A$34" noThreeD="1" sel="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9525</xdr:rowOff>
        </xdr:from>
        <xdr:to>
          <xdr:col>3</xdr:col>
          <xdr:colOff>0</xdr:colOff>
          <xdr:row>28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showGridLines="0" tabSelected="1" workbookViewId="0">
      <selection activeCell="D46" sqref="D46"/>
    </sheetView>
  </sheetViews>
  <sheetFormatPr defaultColWidth="0" defaultRowHeight="12.75" zeroHeight="1" x14ac:dyDescent="0.2"/>
  <cols>
    <col min="1" max="1" width="2.33203125" style="78" customWidth="1"/>
    <col min="2" max="2" width="3.6640625" style="78" customWidth="1"/>
    <col min="3" max="3" width="25.5" style="78" customWidth="1"/>
    <col min="4" max="12" width="16.33203125" style="78" customWidth="1"/>
    <col min="13" max="13" width="5.1640625" style="78" customWidth="1"/>
    <col min="14" max="14" width="6.83203125" style="78" customWidth="1"/>
    <col min="15" max="15" width="9.1640625" style="78" hidden="1" customWidth="1"/>
    <col min="16" max="17" width="0" style="78" hidden="1" customWidth="1"/>
    <col min="18" max="18" width="0" style="79" hidden="1" customWidth="1"/>
    <col min="19" max="19" width="0" style="78" hidden="1" customWidth="1"/>
    <col min="20" max="20" width="27" style="78" hidden="1" customWidth="1"/>
    <col min="21" max="21" width="0" style="78" hidden="1" customWidth="1"/>
    <col min="22" max="22" width="14.83203125" style="78" hidden="1" customWidth="1"/>
    <col min="23" max="23" width="0" style="80" hidden="1" customWidth="1"/>
    <col min="24" max="24" width="13.6640625" style="78" hidden="1" customWidth="1"/>
    <col min="25" max="35" width="0" style="78" hidden="1" customWidth="1"/>
    <col min="36" max="16384" width="9.33203125" style="78" hidden="1"/>
  </cols>
  <sheetData>
    <row r="1" spans="3:24" ht="26.25" x14ac:dyDescent="0.4">
      <c r="C1" s="3" t="s">
        <v>113</v>
      </c>
      <c r="D1" s="4"/>
      <c r="E1" s="4"/>
      <c r="F1" s="4"/>
      <c r="G1" s="4"/>
      <c r="H1" s="4"/>
      <c r="I1" s="5"/>
      <c r="J1" s="4"/>
      <c r="K1" s="4"/>
      <c r="L1" s="6" t="s">
        <v>8</v>
      </c>
      <c r="M1" s="7"/>
      <c r="N1" s="77"/>
      <c r="O1" s="77"/>
    </row>
    <row r="2" spans="3:24" ht="15.75" x14ac:dyDescent="0.25">
      <c r="C2" s="8" t="s">
        <v>114</v>
      </c>
      <c r="D2" s="4"/>
      <c r="E2" s="4"/>
      <c r="F2" s="4"/>
      <c r="G2" s="4"/>
      <c r="H2" s="4"/>
      <c r="I2" s="5"/>
      <c r="J2" s="4"/>
      <c r="K2" s="4"/>
      <c r="L2" s="4"/>
      <c r="M2" s="9"/>
      <c r="N2" s="77"/>
      <c r="O2" s="77"/>
    </row>
    <row r="3" spans="3:24" ht="15.75" x14ac:dyDescent="0.25">
      <c r="C3" s="8"/>
      <c r="D3" s="4"/>
      <c r="E3" s="4"/>
      <c r="F3" s="4"/>
      <c r="G3" s="4"/>
      <c r="H3" s="4"/>
      <c r="I3" s="5"/>
      <c r="J3" s="10"/>
      <c r="K3" s="5"/>
      <c r="L3" s="5"/>
      <c r="M3" s="11"/>
      <c r="N3" s="77"/>
      <c r="O3" s="77"/>
    </row>
    <row r="4" spans="3:24" ht="15.75" x14ac:dyDescent="0.25">
      <c r="C4" s="117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4"/>
      <c r="M4" s="9"/>
      <c r="N4" s="77"/>
      <c r="O4" s="77"/>
    </row>
    <row r="5" spans="3:24" x14ac:dyDescent="0.2">
      <c r="C5" s="14" t="s">
        <v>18</v>
      </c>
      <c r="D5" s="14" t="s">
        <v>19</v>
      </c>
      <c r="E5" s="14" t="s">
        <v>20</v>
      </c>
      <c r="F5" s="14" t="s">
        <v>20</v>
      </c>
      <c r="G5" s="75" t="s">
        <v>21</v>
      </c>
      <c r="H5" s="75" t="s">
        <v>22</v>
      </c>
      <c r="I5" s="75" t="s">
        <v>23</v>
      </c>
      <c r="J5" s="14" t="s">
        <v>19</v>
      </c>
      <c r="K5" s="14" t="s">
        <v>24</v>
      </c>
      <c r="L5" s="4"/>
      <c r="M5" s="9"/>
      <c r="N5" s="77"/>
      <c r="O5" s="77"/>
    </row>
    <row r="6" spans="3:24" ht="13.5" thickBot="1" x14ac:dyDescent="0.25">
      <c r="C6" s="118" t="s">
        <v>25</v>
      </c>
      <c r="D6" s="73" t="s">
        <v>26</v>
      </c>
      <c r="E6" s="73" t="s">
        <v>27</v>
      </c>
      <c r="F6" s="74" t="s">
        <v>28</v>
      </c>
      <c r="G6" s="73" t="s">
        <v>29</v>
      </c>
      <c r="H6" s="73" t="s">
        <v>30</v>
      </c>
      <c r="I6" s="73" t="s">
        <v>31</v>
      </c>
      <c r="J6" s="74" t="s">
        <v>32</v>
      </c>
      <c r="K6" s="74" t="s">
        <v>33</v>
      </c>
      <c r="L6" s="4"/>
      <c r="M6" s="9"/>
      <c r="N6" s="77"/>
      <c r="O6" s="77"/>
    </row>
    <row r="7" spans="3:24" ht="27" thickBot="1" x14ac:dyDescent="0.3">
      <c r="C7" s="56" t="s">
        <v>34</v>
      </c>
      <c r="D7" s="57" t="s">
        <v>35</v>
      </c>
      <c r="E7" s="58" t="s">
        <v>36</v>
      </c>
      <c r="F7" s="59" t="s">
        <v>37</v>
      </c>
      <c r="G7" s="59" t="s">
        <v>94</v>
      </c>
      <c r="H7" s="58" t="s">
        <v>39</v>
      </c>
      <c r="I7" s="58" t="s">
        <v>6</v>
      </c>
      <c r="J7" s="59" t="s">
        <v>40</v>
      </c>
      <c r="K7" s="119" t="s">
        <v>41</v>
      </c>
      <c r="L7" s="56" t="s">
        <v>42</v>
      </c>
      <c r="M7" s="21"/>
      <c r="N7" s="77"/>
      <c r="O7" s="77"/>
      <c r="T7" s="81" t="s">
        <v>80</v>
      </c>
      <c r="U7" s="81" t="s">
        <v>81</v>
      </c>
      <c r="V7" s="82" t="s">
        <v>82</v>
      </c>
    </row>
    <row r="8" spans="3:24" x14ac:dyDescent="0.2">
      <c r="C8" s="60" t="s">
        <v>43</v>
      </c>
      <c r="D8" s="150">
        <v>11954.19</v>
      </c>
      <c r="E8" s="151">
        <v>349.76</v>
      </c>
      <c r="F8" s="151">
        <v>201.22</v>
      </c>
      <c r="G8" s="151">
        <v>1027.98</v>
      </c>
      <c r="H8" s="151">
        <v>3503.19</v>
      </c>
      <c r="I8" s="151">
        <v>25052.82</v>
      </c>
      <c r="J8" s="151">
        <v>1003.11</v>
      </c>
      <c r="K8" s="152">
        <v>3376.7</v>
      </c>
      <c r="L8" s="153">
        <f t="shared" ref="L8:L19" si="0">SUM(D8:K8)</f>
        <v>46468.97</v>
      </c>
      <c r="M8" s="22"/>
      <c r="N8" s="77"/>
      <c r="O8" s="77"/>
      <c r="T8" s="83" t="s">
        <v>83</v>
      </c>
      <c r="U8" s="84">
        <v>34.262454545454545</v>
      </c>
      <c r="V8" s="85">
        <v>123.45481884272728</v>
      </c>
      <c r="W8" s="80">
        <f>U8/U10</f>
        <v>0.94019138755980858</v>
      </c>
      <c r="X8" s="78">
        <f>R17*W8</f>
        <v>117523.92344497607</v>
      </c>
    </row>
    <row r="9" spans="3:24" x14ac:dyDescent="0.2">
      <c r="C9" s="28" t="s">
        <v>44</v>
      </c>
      <c r="D9" s="23">
        <v>12125.2</v>
      </c>
      <c r="E9" s="24">
        <v>156.57</v>
      </c>
      <c r="F9" s="24">
        <v>0</v>
      </c>
      <c r="G9" s="24">
        <v>1320.5</v>
      </c>
      <c r="H9" s="24">
        <v>1252.77</v>
      </c>
      <c r="I9" s="24">
        <v>31628.47</v>
      </c>
      <c r="J9" s="24">
        <v>1017.46</v>
      </c>
      <c r="K9" s="25">
        <v>433.48</v>
      </c>
      <c r="L9" s="62">
        <f t="shared" si="0"/>
        <v>47934.450000000004</v>
      </c>
      <c r="M9" s="22"/>
      <c r="N9" s="77"/>
      <c r="O9" s="77"/>
      <c r="T9" s="86" t="s">
        <v>84</v>
      </c>
      <c r="U9" s="87">
        <v>2.1795454545454547</v>
      </c>
      <c r="V9" s="88">
        <v>10.079613090909092</v>
      </c>
      <c r="W9" s="80">
        <f>U9/U10</f>
        <v>5.9808612440191387E-2</v>
      </c>
      <c r="X9" s="78">
        <f>R17*W9</f>
        <v>7476.076555023923</v>
      </c>
    </row>
    <row r="10" spans="3:24" x14ac:dyDescent="0.2">
      <c r="C10" s="28" t="s">
        <v>45</v>
      </c>
      <c r="D10" s="23">
        <v>9803.91</v>
      </c>
      <c r="E10" s="24">
        <v>388.41</v>
      </c>
      <c r="F10" s="24">
        <v>0</v>
      </c>
      <c r="G10" s="24">
        <v>706.07</v>
      </c>
      <c r="H10" s="24">
        <v>24842.44</v>
      </c>
      <c r="I10" s="24">
        <v>13819.13</v>
      </c>
      <c r="J10" s="24">
        <v>822.68</v>
      </c>
      <c r="K10" s="25">
        <v>224.97</v>
      </c>
      <c r="L10" s="62">
        <f t="shared" si="0"/>
        <v>50607.61</v>
      </c>
      <c r="M10" s="22"/>
      <c r="N10" s="77"/>
      <c r="O10" s="77"/>
      <c r="T10" s="89" t="s">
        <v>85</v>
      </c>
      <c r="U10" s="90">
        <v>36.442</v>
      </c>
      <c r="V10" s="91">
        <v>133.53443193363637</v>
      </c>
      <c r="X10" s="78">
        <f>SUM(X8:X9)</f>
        <v>125000</v>
      </c>
    </row>
    <row r="11" spans="3:24" x14ac:dyDescent="0.2">
      <c r="C11" s="28" t="s">
        <v>46</v>
      </c>
      <c r="D11" s="174">
        <v>8640.01</v>
      </c>
      <c r="E11" s="175">
        <v>0</v>
      </c>
      <c r="F11" s="175">
        <v>0</v>
      </c>
      <c r="G11" s="175">
        <v>817.26</v>
      </c>
      <c r="H11" s="175">
        <v>7860.77</v>
      </c>
      <c r="I11" s="175">
        <v>16925.93</v>
      </c>
      <c r="J11" s="175">
        <v>725.01</v>
      </c>
      <c r="K11" s="176">
        <v>0</v>
      </c>
      <c r="L11" s="62">
        <f t="shared" si="0"/>
        <v>34968.980000000003</v>
      </c>
      <c r="M11" s="22"/>
      <c r="N11" s="77"/>
      <c r="O11" s="77"/>
      <c r="T11" s="86" t="s">
        <v>86</v>
      </c>
      <c r="U11" s="87">
        <v>0.47626930693069303</v>
      </c>
      <c r="V11" s="88">
        <v>1.7160983294257424</v>
      </c>
      <c r="W11" s="80">
        <f>U11/U13</f>
        <v>0.32046751834737697</v>
      </c>
      <c r="X11" s="78">
        <f>R18*W11</f>
        <v>1762.5713509105733</v>
      </c>
    </row>
    <row r="12" spans="3:24" x14ac:dyDescent="0.2">
      <c r="C12" s="28" t="s">
        <v>47</v>
      </c>
      <c r="D12" s="72">
        <v>10677.28</v>
      </c>
      <c r="E12" s="69">
        <v>0</v>
      </c>
      <c r="F12" s="69">
        <v>0</v>
      </c>
      <c r="G12" s="69">
        <v>942.89</v>
      </c>
      <c r="H12" s="69">
        <v>85.24</v>
      </c>
      <c r="I12" s="69">
        <v>31939.09</v>
      </c>
      <c r="J12" s="69">
        <v>895.96</v>
      </c>
      <c r="K12" s="70">
        <v>0</v>
      </c>
      <c r="L12" s="62">
        <f t="shared" si="0"/>
        <v>44540.46</v>
      </c>
      <c r="M12" s="22"/>
      <c r="N12" s="77"/>
      <c r="O12" s="77"/>
      <c r="T12" s="83" t="s">
        <v>87</v>
      </c>
      <c r="U12" s="92">
        <v>1.0099009900990099</v>
      </c>
      <c r="V12" s="85">
        <v>3.6388853465346536</v>
      </c>
      <c r="W12" s="80">
        <f>U12/U13</f>
        <v>0.67953248165262292</v>
      </c>
      <c r="X12" s="78">
        <f>R18*W12</f>
        <v>3737.428649089426</v>
      </c>
    </row>
    <row r="13" spans="3:24" x14ac:dyDescent="0.2">
      <c r="C13" s="28" t="s">
        <v>48</v>
      </c>
      <c r="D13" s="177">
        <v>12669</v>
      </c>
      <c r="E13" s="178">
        <v>0</v>
      </c>
      <c r="F13" s="178">
        <v>0</v>
      </c>
      <c r="G13" s="178">
        <v>1171.99</v>
      </c>
      <c r="H13" s="178">
        <v>26030</v>
      </c>
      <c r="I13" s="178">
        <v>18696.91</v>
      </c>
      <c r="J13" s="178">
        <v>1063.01</v>
      </c>
      <c r="K13" s="179">
        <v>45173.37</v>
      </c>
      <c r="L13" s="180">
        <f t="shared" si="0"/>
        <v>104804.28</v>
      </c>
      <c r="M13" s="26"/>
      <c r="N13" s="77"/>
      <c r="O13" s="77"/>
      <c r="T13" s="93" t="s">
        <v>88</v>
      </c>
      <c r="U13" s="94">
        <v>1.486170297029703</v>
      </c>
      <c r="V13" s="95">
        <v>5.3549836759603959</v>
      </c>
      <c r="X13" s="78">
        <f>SUM(X11:X12)</f>
        <v>5499.9999999999991</v>
      </c>
    </row>
    <row r="14" spans="3:24" x14ac:dyDescent="0.2">
      <c r="C14" s="28" t="s">
        <v>49</v>
      </c>
      <c r="D14" s="23"/>
      <c r="E14" s="24"/>
      <c r="F14" s="24"/>
      <c r="G14" s="24"/>
      <c r="H14" s="24"/>
      <c r="I14" s="24"/>
      <c r="J14" s="24"/>
      <c r="K14" s="25"/>
      <c r="L14" s="62">
        <f t="shared" si="0"/>
        <v>0</v>
      </c>
      <c r="M14" s="22"/>
      <c r="N14" s="77"/>
      <c r="O14" s="77"/>
      <c r="T14" s="89" t="s">
        <v>89</v>
      </c>
      <c r="U14" s="90">
        <v>3.8426666666666667</v>
      </c>
      <c r="V14" s="91">
        <v>13.845934959999999</v>
      </c>
    </row>
    <row r="15" spans="3:24" x14ac:dyDescent="0.2">
      <c r="C15" s="28" t="s">
        <v>50</v>
      </c>
      <c r="D15" s="23"/>
      <c r="E15" s="24"/>
      <c r="F15" s="24"/>
      <c r="G15" s="24"/>
      <c r="H15" s="24"/>
      <c r="I15" s="24"/>
      <c r="J15" s="24"/>
      <c r="K15" s="25"/>
      <c r="L15" s="62">
        <f t="shared" si="0"/>
        <v>0</v>
      </c>
      <c r="M15" s="22"/>
      <c r="N15" s="77"/>
      <c r="O15" s="77"/>
      <c r="T15" s="93" t="s">
        <v>90</v>
      </c>
      <c r="U15" s="94">
        <v>35.422400000000003</v>
      </c>
      <c r="V15" s="95">
        <v>127.63434590400001</v>
      </c>
    </row>
    <row r="16" spans="3:24" ht="13.5" thickBot="1" x14ac:dyDescent="0.25">
      <c r="C16" s="28" t="s">
        <v>51</v>
      </c>
      <c r="D16" s="23"/>
      <c r="E16" s="24"/>
      <c r="F16" s="24"/>
      <c r="G16" s="24"/>
      <c r="H16" s="24"/>
      <c r="I16" s="24"/>
      <c r="J16" s="24"/>
      <c r="K16" s="25"/>
      <c r="L16" s="62">
        <f t="shared" si="0"/>
        <v>0</v>
      </c>
      <c r="M16" s="22"/>
      <c r="N16" s="77"/>
      <c r="O16" s="77"/>
      <c r="T16" s="89" t="s">
        <v>91</v>
      </c>
      <c r="U16" s="96">
        <v>73.446135231316717</v>
      </c>
      <c r="V16" s="91">
        <v>264.64184892683272</v>
      </c>
    </row>
    <row r="17" spans="2:22" ht="13.5" thickBot="1" x14ac:dyDescent="0.25">
      <c r="C17" s="28" t="s">
        <v>52</v>
      </c>
      <c r="D17" s="23"/>
      <c r="E17" s="24"/>
      <c r="F17" s="24"/>
      <c r="G17" s="24"/>
      <c r="H17" s="24"/>
      <c r="I17" s="24"/>
      <c r="J17" s="24"/>
      <c r="K17" s="25"/>
      <c r="L17" s="62">
        <f t="shared" si="0"/>
        <v>0</v>
      </c>
      <c r="M17" s="22"/>
      <c r="N17" s="77"/>
      <c r="O17" s="77"/>
      <c r="R17" s="97">
        <v>125000</v>
      </c>
      <c r="T17" s="81" t="s">
        <v>42</v>
      </c>
      <c r="U17" s="98">
        <v>150.6393721950131</v>
      </c>
      <c r="V17" s="99">
        <v>545.01154540042944</v>
      </c>
    </row>
    <row r="18" spans="2:22" x14ac:dyDescent="0.2">
      <c r="C18" s="28" t="s">
        <v>53</v>
      </c>
      <c r="D18" s="23"/>
      <c r="E18" s="24"/>
      <c r="F18" s="24"/>
      <c r="G18" s="24"/>
      <c r="H18" s="24"/>
      <c r="I18" s="24"/>
      <c r="J18" s="24"/>
      <c r="K18" s="25"/>
      <c r="L18" s="62">
        <f t="shared" si="0"/>
        <v>0</v>
      </c>
      <c r="M18" s="22"/>
      <c r="N18" s="77"/>
      <c r="O18" s="77"/>
      <c r="R18" s="97">
        <v>5500</v>
      </c>
      <c r="T18" s="50"/>
    </row>
    <row r="19" spans="2:22" ht="13.5" thickBot="1" x14ac:dyDescent="0.25">
      <c r="C19" s="61" t="s">
        <v>54</v>
      </c>
      <c r="D19" s="162"/>
      <c r="E19" s="163"/>
      <c r="F19" s="163"/>
      <c r="G19" s="163"/>
      <c r="H19" s="163"/>
      <c r="I19" s="163"/>
      <c r="J19" s="163"/>
      <c r="K19" s="164"/>
      <c r="L19" s="188">
        <f t="shared" si="0"/>
        <v>0</v>
      </c>
      <c r="M19" s="22"/>
      <c r="N19" s="77"/>
      <c r="O19" s="77"/>
      <c r="T19" s="50"/>
    </row>
    <row r="20" spans="2:22" x14ac:dyDescent="0.2">
      <c r="B20" s="183">
        <v>2017</v>
      </c>
      <c r="C20" s="63" t="s">
        <v>132</v>
      </c>
      <c r="D20" s="64">
        <f>SUM(D8:D19)</f>
        <v>65869.59</v>
      </c>
      <c r="E20" s="65">
        <f t="shared" ref="E20:L20" si="1">SUM(E8:E19)</f>
        <v>894.74</v>
      </c>
      <c r="F20" s="65">
        <f t="shared" si="1"/>
        <v>201.22</v>
      </c>
      <c r="G20" s="65">
        <f t="shared" si="1"/>
        <v>5986.6900000000005</v>
      </c>
      <c r="H20" s="65">
        <f t="shared" si="1"/>
        <v>63574.409999999996</v>
      </c>
      <c r="I20" s="65">
        <f t="shared" si="1"/>
        <v>138062.35</v>
      </c>
      <c r="J20" s="65">
        <f t="shared" si="1"/>
        <v>5527.2300000000005</v>
      </c>
      <c r="K20" s="66">
        <f t="shared" si="1"/>
        <v>49208.520000000004</v>
      </c>
      <c r="L20" s="67">
        <f t="shared" si="1"/>
        <v>329324.75</v>
      </c>
      <c r="M20" s="22"/>
      <c r="N20" s="77"/>
      <c r="O20" s="77"/>
      <c r="T20" s="50"/>
    </row>
    <row r="21" spans="2:22" x14ac:dyDescent="0.2">
      <c r="B21" s="184"/>
      <c r="C21" s="68" t="s">
        <v>129</v>
      </c>
      <c r="D21" s="72">
        <v>136800</v>
      </c>
      <c r="E21" s="69">
        <v>1060</v>
      </c>
      <c r="F21" s="69">
        <v>2200</v>
      </c>
      <c r="G21" s="69">
        <v>12620</v>
      </c>
      <c r="H21" s="69">
        <v>142740</v>
      </c>
      <c r="I21" s="69">
        <v>283720</v>
      </c>
      <c r="J21" s="69">
        <v>8820</v>
      </c>
      <c r="K21" s="70">
        <v>65000</v>
      </c>
      <c r="L21" s="131">
        <f>SUM(D21:K21)</f>
        <v>652960</v>
      </c>
      <c r="M21" s="22"/>
      <c r="N21" s="77"/>
      <c r="O21" s="77"/>
      <c r="T21" s="50"/>
    </row>
    <row r="22" spans="2:22" x14ac:dyDescent="0.2">
      <c r="B22" s="184"/>
      <c r="C22" s="28" t="s">
        <v>130</v>
      </c>
      <c r="D22" s="128">
        <f t="shared" ref="D22:K22" si="2">D21</f>
        <v>136800</v>
      </c>
      <c r="E22" s="129">
        <f t="shared" si="2"/>
        <v>1060</v>
      </c>
      <c r="F22" s="129">
        <f t="shared" si="2"/>
        <v>2200</v>
      </c>
      <c r="G22" s="129">
        <f t="shared" si="2"/>
        <v>12620</v>
      </c>
      <c r="H22" s="129">
        <f t="shared" si="2"/>
        <v>142740</v>
      </c>
      <c r="I22" s="129">
        <f t="shared" si="2"/>
        <v>283720</v>
      </c>
      <c r="J22" s="129">
        <f t="shared" si="2"/>
        <v>8820</v>
      </c>
      <c r="K22" s="130">
        <f t="shared" si="2"/>
        <v>65000</v>
      </c>
      <c r="L22" s="71">
        <f>SUM(D22:K22)</f>
        <v>652960</v>
      </c>
      <c r="M22" s="169" t="s">
        <v>110</v>
      </c>
      <c r="N22" s="77"/>
      <c r="O22" s="77"/>
      <c r="T22" s="50"/>
    </row>
    <row r="23" spans="2:22" x14ac:dyDescent="0.2">
      <c r="B23" s="184"/>
      <c r="C23" s="29" t="s">
        <v>57</v>
      </c>
      <c r="D23" s="167">
        <f>D20/D22</f>
        <v>0.48150285087719297</v>
      </c>
      <c r="E23" s="167">
        <f t="shared" ref="E23:K23" si="3">E20/E22</f>
        <v>0.84409433962264147</v>
      </c>
      <c r="F23" s="167">
        <f t="shared" si="3"/>
        <v>9.1463636363636358E-2</v>
      </c>
      <c r="G23" s="167">
        <f t="shared" si="3"/>
        <v>0.47438114104595885</v>
      </c>
      <c r="H23" s="167">
        <f t="shared" si="3"/>
        <v>0.44538608659100459</v>
      </c>
      <c r="I23" s="167">
        <f t="shared" si="3"/>
        <v>0.48661479627802062</v>
      </c>
      <c r="J23" s="167">
        <f t="shared" si="3"/>
        <v>0.62667006802721092</v>
      </c>
      <c r="K23" s="167">
        <f t="shared" si="3"/>
        <v>0.75705415384615393</v>
      </c>
      <c r="L23" s="168">
        <f>L20/L22</f>
        <v>0.50435669872580247</v>
      </c>
      <c r="M23" s="165">
        <f>C28/12</f>
        <v>0.5</v>
      </c>
      <c r="N23" s="170" t="str">
        <f>IF(L23&gt;M23,"OK :-)","KO :-( !!!")</f>
        <v>OK :-)</v>
      </c>
      <c r="O23" s="77"/>
    </row>
    <row r="24" spans="2:22" x14ac:dyDescent="0.2">
      <c r="B24" s="184"/>
      <c r="C24" s="29" t="s">
        <v>109</v>
      </c>
      <c r="D24" s="23">
        <f>D22/12*$C$28</f>
        <v>68400</v>
      </c>
      <c r="E24" s="23">
        <f t="shared" ref="E24:K24" si="4">E22/12*$C$28</f>
        <v>530</v>
      </c>
      <c r="F24" s="23">
        <f t="shared" si="4"/>
        <v>1100</v>
      </c>
      <c r="G24" s="23">
        <f t="shared" si="4"/>
        <v>6310</v>
      </c>
      <c r="H24" s="23">
        <f t="shared" si="4"/>
        <v>71370</v>
      </c>
      <c r="I24" s="23">
        <f t="shared" si="4"/>
        <v>141860</v>
      </c>
      <c r="J24" s="23">
        <f t="shared" si="4"/>
        <v>4410</v>
      </c>
      <c r="K24" s="23">
        <f t="shared" si="4"/>
        <v>32500</v>
      </c>
      <c r="L24" s="134">
        <f>SUM(D24:K24)</f>
        <v>326480</v>
      </c>
      <c r="M24" s="22"/>
      <c r="N24" s="77"/>
      <c r="O24" s="77"/>
    </row>
    <row r="25" spans="2:22" ht="13.5" thickBot="1" x14ac:dyDescent="0.25">
      <c r="B25" s="185"/>
      <c r="C25" s="30" t="s">
        <v>58</v>
      </c>
      <c r="D25" s="31">
        <f>SUM(D20-D24)</f>
        <v>-2530.4100000000035</v>
      </c>
      <c r="E25" s="32">
        <f t="shared" ref="E25:K25" si="5">SUM(E20-E24)</f>
        <v>364.74</v>
      </c>
      <c r="F25" s="32">
        <f t="shared" si="5"/>
        <v>-898.78</v>
      </c>
      <c r="G25" s="32">
        <f t="shared" si="5"/>
        <v>-323.30999999999949</v>
      </c>
      <c r="H25" s="32">
        <f t="shared" si="5"/>
        <v>-7795.5900000000038</v>
      </c>
      <c r="I25" s="32">
        <f t="shared" si="5"/>
        <v>-3797.6499999999942</v>
      </c>
      <c r="J25" s="32">
        <f t="shared" si="5"/>
        <v>1117.2300000000005</v>
      </c>
      <c r="K25" s="33">
        <f t="shared" si="5"/>
        <v>16708.520000000004</v>
      </c>
      <c r="L25" s="27">
        <f>SUM(D25:K25)</f>
        <v>2844.7500000000036</v>
      </c>
      <c r="M25" s="22"/>
      <c r="N25" s="77"/>
      <c r="O25" s="77"/>
    </row>
    <row r="26" spans="2:22" x14ac:dyDescent="0.2">
      <c r="B26" s="184">
        <v>2016</v>
      </c>
      <c r="C26" s="123" t="s">
        <v>79</v>
      </c>
      <c r="D26" s="124">
        <v>117523.92344497607</v>
      </c>
      <c r="E26" s="125">
        <v>1762.5713509105733</v>
      </c>
      <c r="F26" s="125">
        <v>3737.428649089426</v>
      </c>
      <c r="G26" s="125">
        <v>11000</v>
      </c>
      <c r="H26" s="125">
        <v>122000</v>
      </c>
      <c r="I26" s="125">
        <v>254164</v>
      </c>
      <c r="J26" s="125">
        <v>7476.076555023923</v>
      </c>
      <c r="K26" s="126">
        <v>65000</v>
      </c>
      <c r="L26" s="127">
        <f>SUM(D26:K26)</f>
        <v>582664</v>
      </c>
      <c r="M26" s="22"/>
      <c r="N26" s="77"/>
      <c r="O26" s="77"/>
    </row>
    <row r="27" spans="2:22" x14ac:dyDescent="0.2">
      <c r="B27" s="184"/>
      <c r="C27" s="34" t="s">
        <v>109</v>
      </c>
      <c r="D27" s="35">
        <f>D26/12*$C$28</f>
        <v>58761.961722488035</v>
      </c>
      <c r="E27" s="36">
        <f t="shared" ref="E27:K27" si="6">E26/12*$C$28</f>
        <v>881.28567545528654</v>
      </c>
      <c r="F27" s="36">
        <f t="shared" si="6"/>
        <v>1868.7143245447132</v>
      </c>
      <c r="G27" s="36">
        <f t="shared" si="6"/>
        <v>5500</v>
      </c>
      <c r="H27" s="36">
        <f t="shared" si="6"/>
        <v>61000</v>
      </c>
      <c r="I27" s="36">
        <f t="shared" si="6"/>
        <v>127082</v>
      </c>
      <c r="J27" s="36">
        <f t="shared" si="6"/>
        <v>3738.0382775119615</v>
      </c>
      <c r="K27" s="37">
        <f t="shared" si="6"/>
        <v>32500</v>
      </c>
      <c r="L27" s="38">
        <f>L26/12*3</f>
        <v>145666</v>
      </c>
      <c r="M27" s="39"/>
      <c r="N27" s="77"/>
      <c r="O27" s="77"/>
    </row>
    <row r="28" spans="2:22" x14ac:dyDescent="0.2">
      <c r="B28" s="184"/>
      <c r="C28" s="120">
        <v>6</v>
      </c>
      <c r="D28" s="121">
        <f>VLOOKUP($C$28,Zdroj!$B$5:$J$16,2,FALSE)</f>
        <v>60179.576561483249</v>
      </c>
      <c r="E28" s="121">
        <f>VLOOKUP($C$28,Zdroj!$B$5:$J$16,3,FALSE)</f>
        <v>356.86714843707534</v>
      </c>
      <c r="F28" s="121">
        <f>VLOOKUP($C$28,Zdroj!$B$5:$J$16,4,FALSE)</f>
        <v>756.71575156292454</v>
      </c>
      <c r="G28" s="121">
        <f>VLOOKUP($C$28,Zdroj!$B$5:$J$16,5,FALSE)</f>
        <v>6229.1941799999995</v>
      </c>
      <c r="H28" s="121">
        <f>VLOOKUP($C$28,Zdroj!$B$5:$J$16,6,FALSE)</f>
        <v>60034.273280000001</v>
      </c>
      <c r="I28" s="121">
        <f>VLOOKUP($C$28,Zdroj!$B$5:$J$16,7,FALSE)</f>
        <v>121527.20284</v>
      </c>
      <c r="J28" s="121">
        <f>VLOOKUP($C$28,Zdroj!$B$5:$J$16,8,FALSE)</f>
        <v>3828.2173385167494</v>
      </c>
      <c r="K28" s="121">
        <f>VLOOKUP($C$28,Zdroj!$B$5:$J$16,9,FALSE)</f>
        <v>47977.817799999997</v>
      </c>
      <c r="L28" s="122">
        <f>SUM(D28:K28)</f>
        <v>300889.86489999999</v>
      </c>
      <c r="M28" s="22"/>
      <c r="N28" s="77"/>
      <c r="O28" s="77"/>
    </row>
    <row r="29" spans="2:22" ht="13.5" thickBot="1" x14ac:dyDescent="0.25">
      <c r="B29" s="185"/>
      <c r="C29" s="52" t="s">
        <v>58</v>
      </c>
      <c r="D29" s="54">
        <f t="shared" ref="D29:K29" si="7">D28-D27</f>
        <v>1417.6148389952141</v>
      </c>
      <c r="E29" s="51">
        <f t="shared" si="7"/>
        <v>-524.41852701821119</v>
      </c>
      <c r="F29" s="51">
        <f t="shared" si="7"/>
        <v>-1111.9985729817886</v>
      </c>
      <c r="G29" s="51">
        <f t="shared" si="7"/>
        <v>729.19417999999951</v>
      </c>
      <c r="H29" s="51">
        <f t="shared" si="7"/>
        <v>-965.72671999999875</v>
      </c>
      <c r="I29" s="51">
        <f t="shared" si="7"/>
        <v>-5554.7971600000019</v>
      </c>
      <c r="J29" s="51">
        <f t="shared" si="7"/>
        <v>90.179061004787854</v>
      </c>
      <c r="K29" s="55">
        <f t="shared" si="7"/>
        <v>15477.817799999997</v>
      </c>
      <c r="L29" s="53">
        <f>SUM(D29:K29)</f>
        <v>9557.8648999999987</v>
      </c>
      <c r="M29" s="22"/>
      <c r="N29" s="77"/>
      <c r="O29" s="77"/>
    </row>
    <row r="30" spans="2:22" ht="13.5" thickBot="1" x14ac:dyDescent="0.25">
      <c r="C30" s="112" t="s">
        <v>115</v>
      </c>
      <c r="D30" s="113">
        <f t="shared" ref="D30:K30" si="8">SUM(D20-D28)</f>
        <v>5690.0134385167476</v>
      </c>
      <c r="E30" s="114">
        <f t="shared" si="8"/>
        <v>537.87285156292467</v>
      </c>
      <c r="F30" s="114">
        <f t="shared" si="8"/>
        <v>-555.49575156292451</v>
      </c>
      <c r="G30" s="114">
        <f t="shared" si="8"/>
        <v>-242.504179999999</v>
      </c>
      <c r="H30" s="114">
        <f t="shared" si="8"/>
        <v>3540.136719999995</v>
      </c>
      <c r="I30" s="114">
        <f t="shared" si="8"/>
        <v>16535.147160000008</v>
      </c>
      <c r="J30" s="114">
        <f t="shared" si="8"/>
        <v>1699.0126614832511</v>
      </c>
      <c r="K30" s="115">
        <f t="shared" si="8"/>
        <v>1230.702200000007</v>
      </c>
      <c r="L30" s="116">
        <f>SUM(D30:K30)</f>
        <v>28434.88510000001</v>
      </c>
      <c r="M30" s="22"/>
      <c r="N30" s="77"/>
      <c r="O30" s="77"/>
    </row>
    <row r="31" spans="2:22" ht="13.5" thickBot="1" x14ac:dyDescent="0.25">
      <c r="C31" s="40"/>
      <c r="D31" s="100"/>
      <c r="E31" s="41"/>
      <c r="F31" s="22"/>
      <c r="G31" s="22"/>
      <c r="H31" s="22"/>
      <c r="I31" s="22"/>
      <c r="J31" s="22"/>
      <c r="K31" s="22"/>
      <c r="L31" s="22"/>
      <c r="M31" s="22"/>
      <c r="N31" s="77"/>
      <c r="O31" s="77"/>
    </row>
    <row r="32" spans="2:22" ht="13.5" thickBot="1" x14ac:dyDescent="0.25">
      <c r="C32" s="40"/>
      <c r="D32" s="100"/>
      <c r="E32" s="41"/>
      <c r="F32" s="22"/>
      <c r="G32" s="22"/>
      <c r="H32" s="22"/>
      <c r="I32" s="22"/>
      <c r="J32" s="22"/>
      <c r="K32" s="154" t="s">
        <v>95</v>
      </c>
      <c r="L32" s="158" t="s">
        <v>96</v>
      </c>
      <c r="M32" s="22"/>
      <c r="N32" s="77"/>
      <c r="O32" s="77"/>
    </row>
    <row r="33" spans="3:23" x14ac:dyDescent="0.2">
      <c r="C33" s="101" t="s">
        <v>92</v>
      </c>
      <c r="D33" s="103">
        <v>0</v>
      </c>
      <c r="E33" s="104" t="s">
        <v>59</v>
      </c>
      <c r="F33" s="44" t="s">
        <v>60</v>
      </c>
      <c r="G33" s="42"/>
      <c r="H33" s="133"/>
      <c r="I33" s="132"/>
      <c r="J33" s="108" t="s">
        <v>55</v>
      </c>
      <c r="K33" s="155">
        <f>D21+E21+G21+H21+I21</f>
        <v>576940</v>
      </c>
      <c r="L33" s="159">
        <f>F21+J21+K21</f>
        <v>76020</v>
      </c>
      <c r="M33" s="43"/>
      <c r="N33" s="42"/>
      <c r="O33" s="42"/>
    </row>
    <row r="34" spans="3:23" x14ac:dyDescent="0.2">
      <c r="C34" s="45"/>
      <c r="D34" s="105">
        <v>0</v>
      </c>
      <c r="E34" s="102" t="s">
        <v>59</v>
      </c>
      <c r="F34" s="46" t="s">
        <v>61</v>
      </c>
      <c r="G34" s="42"/>
      <c r="H34" s="133"/>
      <c r="I34" s="42"/>
      <c r="J34" s="109" t="s">
        <v>56</v>
      </c>
      <c r="K34" s="156">
        <f>D22+E22+G22+H22+I22</f>
        <v>576940</v>
      </c>
      <c r="L34" s="160">
        <f>F22+J22+K22</f>
        <v>76020</v>
      </c>
      <c r="M34" s="43"/>
      <c r="N34" s="42"/>
      <c r="O34" s="42"/>
    </row>
    <row r="35" spans="3:23" ht="13.5" thickBot="1" x14ac:dyDescent="0.25">
      <c r="C35" s="47"/>
      <c r="D35" s="106">
        <f>D33+D34</f>
        <v>0</v>
      </c>
      <c r="E35" s="107" t="s">
        <v>59</v>
      </c>
      <c r="F35" s="48" t="s">
        <v>63</v>
      </c>
      <c r="G35" s="42"/>
      <c r="H35" s="133"/>
      <c r="I35" s="42"/>
      <c r="J35" s="110" t="s">
        <v>62</v>
      </c>
      <c r="K35" s="156">
        <f>K34-K33</f>
        <v>0</v>
      </c>
      <c r="L35" s="160">
        <f>L34-L33</f>
        <v>0</v>
      </c>
      <c r="M35" s="43"/>
      <c r="N35" s="42"/>
      <c r="O35" s="42"/>
    </row>
    <row r="36" spans="3:23" ht="13.5" thickBot="1" x14ac:dyDescent="0.25">
      <c r="G36" s="42"/>
      <c r="H36" s="42"/>
      <c r="I36" s="42"/>
      <c r="J36" s="111" t="s">
        <v>64</v>
      </c>
      <c r="K36" s="157">
        <f>D20+E20+G20+H20+I20</f>
        <v>274387.78000000003</v>
      </c>
      <c r="L36" s="161">
        <f>F20+J20+K20</f>
        <v>54936.97</v>
      </c>
      <c r="M36" s="43"/>
      <c r="N36" s="42"/>
      <c r="O36" s="42"/>
    </row>
    <row r="37" spans="3:23" ht="16.5" thickBot="1" x14ac:dyDescent="0.25">
      <c r="C37" s="42"/>
      <c r="D37" s="42"/>
      <c r="E37" s="42"/>
      <c r="F37" s="42"/>
      <c r="G37" s="42"/>
      <c r="H37" s="42"/>
      <c r="I37" s="42"/>
      <c r="J37" s="149" t="s">
        <v>65</v>
      </c>
      <c r="K37" s="181">
        <f>K36+L36</f>
        <v>329324.75</v>
      </c>
      <c r="L37" s="182"/>
      <c r="M37" s="49"/>
      <c r="N37" s="42"/>
      <c r="O37" s="42"/>
    </row>
    <row r="38" spans="3:23" x14ac:dyDescent="0.2">
      <c r="C38" s="76" t="s">
        <v>66</v>
      </c>
      <c r="D38" s="9"/>
      <c r="E38" s="9"/>
      <c r="F38" s="9"/>
      <c r="G38" s="9"/>
      <c r="H38" s="9"/>
      <c r="I38" s="4"/>
      <c r="J38" s="4"/>
      <c r="K38" s="4"/>
      <c r="L38" s="4"/>
      <c r="M38" s="9"/>
      <c r="N38" s="4"/>
      <c r="O38" s="4"/>
    </row>
    <row r="39" spans="3:23" x14ac:dyDescent="0.2">
      <c r="C39" s="76"/>
      <c r="D39" s="9"/>
      <c r="E39" s="9"/>
      <c r="F39" s="9"/>
      <c r="G39" s="9"/>
      <c r="H39" s="9"/>
      <c r="I39" s="4"/>
      <c r="J39" s="4"/>
      <c r="K39" s="4"/>
      <c r="L39" s="4"/>
      <c r="M39" s="9"/>
      <c r="N39" s="4"/>
      <c r="O39" s="4"/>
    </row>
    <row r="40" spans="3:23" x14ac:dyDescent="0.2">
      <c r="C40" s="186" t="s">
        <v>116</v>
      </c>
      <c r="D40" s="135" t="s">
        <v>67</v>
      </c>
      <c r="E40" s="135" t="s">
        <v>68</v>
      </c>
      <c r="F40" s="135" t="s">
        <v>69</v>
      </c>
      <c r="G40" s="135" t="s">
        <v>70</v>
      </c>
      <c r="H40" s="135" t="s">
        <v>71</v>
      </c>
      <c r="I40" s="136" t="s">
        <v>72</v>
      </c>
    </row>
    <row r="41" spans="3:23" x14ac:dyDescent="0.2">
      <c r="C41" s="187"/>
      <c r="D41" s="137">
        <v>2.61</v>
      </c>
      <c r="E41" s="137">
        <v>6.88</v>
      </c>
      <c r="F41" s="137">
        <v>13.71</v>
      </c>
      <c r="G41" s="137">
        <v>13.15</v>
      </c>
      <c r="H41" s="137">
        <v>21.26</v>
      </c>
      <c r="I41" s="138">
        <v>28.44</v>
      </c>
      <c r="Q41" s="79"/>
      <c r="R41" s="78"/>
      <c r="V41" s="80"/>
      <c r="W41" s="78"/>
    </row>
    <row r="42" spans="3:23" ht="12.75" customHeight="1" x14ac:dyDescent="0.2">
      <c r="C42" s="186" t="s">
        <v>116</v>
      </c>
      <c r="D42" s="136" t="s">
        <v>73</v>
      </c>
      <c r="E42" s="136" t="s">
        <v>74</v>
      </c>
      <c r="F42" s="136" t="s">
        <v>75</v>
      </c>
      <c r="G42" s="135" t="s">
        <v>76</v>
      </c>
      <c r="H42" s="136" t="s">
        <v>77</v>
      </c>
      <c r="I42" s="136" t="s">
        <v>78</v>
      </c>
      <c r="J42" s="4"/>
      <c r="K42" s="4"/>
      <c r="L42" s="9"/>
      <c r="M42" s="4"/>
      <c r="N42" s="4"/>
      <c r="Q42" s="79"/>
      <c r="R42" s="78"/>
      <c r="V42" s="80"/>
      <c r="W42" s="78"/>
    </row>
    <row r="43" spans="3:23" x14ac:dyDescent="0.2">
      <c r="C43" s="187"/>
      <c r="D43" s="138"/>
      <c r="E43" s="138"/>
      <c r="F43" s="138"/>
      <c r="G43" s="137"/>
      <c r="H43" s="138"/>
      <c r="I43" s="138"/>
    </row>
    <row r="44" spans="3:23" x14ac:dyDescent="0.2">
      <c r="K44" s="166" t="s">
        <v>111</v>
      </c>
    </row>
    <row r="45" spans="3:23" x14ac:dyDescent="0.2">
      <c r="C45" s="78" t="s">
        <v>93</v>
      </c>
      <c r="D45" s="139">
        <v>42916</v>
      </c>
      <c r="K45" s="78" t="s">
        <v>112</v>
      </c>
    </row>
    <row r="46" spans="3:23" x14ac:dyDescent="0.2">
      <c r="C46" s="78" t="s">
        <v>131</v>
      </c>
      <c r="D46" s="139">
        <v>42930</v>
      </c>
    </row>
    <row r="47" spans="3:23" hidden="1" x14ac:dyDescent="0.2"/>
  </sheetData>
  <mergeCells count="5">
    <mergeCell ref="K37:L37"/>
    <mergeCell ref="B20:B25"/>
    <mergeCell ref="B26:B29"/>
    <mergeCell ref="C40:C41"/>
    <mergeCell ref="C42:C43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27</xdr:row>
                    <xdr:rowOff>9525</xdr:rowOff>
                  </from>
                  <to>
                    <xdr:col>3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pane ySplit="3" topLeftCell="A4" activePane="bottomLeft" state="frozen"/>
      <selection pane="bottomLeft" activeCell="K5" sqref="K5:K16"/>
    </sheetView>
  </sheetViews>
  <sheetFormatPr defaultRowHeight="12.75" x14ac:dyDescent="0.2"/>
  <cols>
    <col min="1" max="1" width="25.83203125" style="1" customWidth="1"/>
    <col min="2" max="2" width="5" style="148" bestFit="1" customWidth="1"/>
    <col min="3" max="3" width="15.1640625" style="2" customWidth="1"/>
    <col min="4" max="12" width="14" style="2" customWidth="1"/>
    <col min="13" max="15" width="14.83203125" style="2" customWidth="1"/>
  </cols>
  <sheetData>
    <row r="1" spans="1:17" x14ac:dyDescent="0.2">
      <c r="A1" s="140"/>
      <c r="B1" s="145"/>
      <c r="C1" s="12" t="s">
        <v>19</v>
      </c>
      <c r="D1" s="13" t="s">
        <v>20</v>
      </c>
      <c r="E1" s="13" t="s">
        <v>20</v>
      </c>
      <c r="F1" s="14" t="s">
        <v>21</v>
      </c>
      <c r="G1" s="14" t="s">
        <v>22</v>
      </c>
      <c r="H1" s="14" t="s">
        <v>23</v>
      </c>
      <c r="I1" s="12" t="s">
        <v>19</v>
      </c>
      <c r="J1" s="14" t="s">
        <v>24</v>
      </c>
    </row>
    <row r="2" spans="1:17" ht="13.5" thickBot="1" x14ac:dyDescent="0.25">
      <c r="A2" s="141" t="s">
        <v>0</v>
      </c>
      <c r="B2" s="146"/>
      <c r="C2" s="15" t="s">
        <v>26</v>
      </c>
      <c r="D2" s="15" t="s">
        <v>27</v>
      </c>
      <c r="E2" s="16" t="s">
        <v>28</v>
      </c>
      <c r="F2" s="15" t="s">
        <v>29</v>
      </c>
      <c r="G2" s="15" t="s">
        <v>30</v>
      </c>
      <c r="H2" s="15" t="s">
        <v>31</v>
      </c>
      <c r="I2" s="16" t="s">
        <v>32</v>
      </c>
      <c r="J2" s="16" t="s">
        <v>33</v>
      </c>
      <c r="K2" s="1"/>
      <c r="L2" s="1" t="s">
        <v>2</v>
      </c>
      <c r="M2" s="1" t="s">
        <v>4</v>
      </c>
    </row>
    <row r="3" spans="1:17" ht="26.25" thickBot="1" x14ac:dyDescent="0.25">
      <c r="A3" s="141" t="s">
        <v>1</v>
      </c>
      <c r="B3" s="146"/>
      <c r="C3" s="17" t="s">
        <v>35</v>
      </c>
      <c r="D3" s="18" t="s">
        <v>36</v>
      </c>
      <c r="E3" s="19" t="s">
        <v>37</v>
      </c>
      <c r="F3" s="19" t="s">
        <v>38</v>
      </c>
      <c r="G3" s="18" t="s">
        <v>39</v>
      </c>
      <c r="H3" s="18" t="s">
        <v>6</v>
      </c>
      <c r="I3" s="19" t="s">
        <v>40</v>
      </c>
      <c r="J3" s="20" t="s">
        <v>41</v>
      </c>
      <c r="K3" s="1"/>
      <c r="L3" s="1" t="s">
        <v>3</v>
      </c>
      <c r="M3" s="1" t="s">
        <v>5</v>
      </c>
    </row>
    <row r="4" spans="1:17" x14ac:dyDescent="0.2">
      <c r="A4" s="142" t="s">
        <v>7</v>
      </c>
      <c r="B4" s="146"/>
      <c r="C4" s="171">
        <f>C22</f>
        <v>117523.92344497607</v>
      </c>
      <c r="D4" s="171">
        <f t="shared" ref="D4:J4" si="0">D22</f>
        <v>1762.571350910574</v>
      </c>
      <c r="E4" s="171">
        <f t="shared" si="0"/>
        <v>3737.428649089426</v>
      </c>
      <c r="F4" s="171">
        <f t="shared" si="0"/>
        <v>11000</v>
      </c>
      <c r="G4" s="171">
        <f t="shared" si="0"/>
        <v>122000</v>
      </c>
      <c r="H4" s="171">
        <f t="shared" si="0"/>
        <v>254164</v>
      </c>
      <c r="I4" s="171">
        <f t="shared" si="0"/>
        <v>7476.0765550239303</v>
      </c>
      <c r="J4" s="171">
        <f t="shared" si="0"/>
        <v>65000</v>
      </c>
      <c r="L4" s="172">
        <v>125000</v>
      </c>
      <c r="M4" s="172">
        <v>5500</v>
      </c>
    </row>
    <row r="5" spans="1:17" x14ac:dyDescent="0.2">
      <c r="A5" s="144" t="s">
        <v>117</v>
      </c>
      <c r="B5" s="147">
        <v>1</v>
      </c>
      <c r="C5" s="143">
        <f>C23/1000</f>
        <v>12051.978707799042</v>
      </c>
      <c r="D5" s="143">
        <f t="shared" ref="D5:J5" si="1">D23/1000</f>
        <v>205.467403283501</v>
      </c>
      <c r="E5" s="143">
        <f t="shared" si="1"/>
        <v>435.68151671649906</v>
      </c>
      <c r="F5" s="143">
        <f t="shared" si="1"/>
        <v>988.40890000000002</v>
      </c>
      <c r="G5" s="143">
        <f t="shared" si="1"/>
        <v>4639.1217400000005</v>
      </c>
      <c r="H5" s="143">
        <f t="shared" si="1"/>
        <v>21499.945640000002</v>
      </c>
      <c r="I5" s="143">
        <f t="shared" si="1"/>
        <v>766.66531220095794</v>
      </c>
      <c r="J5" s="143">
        <f t="shared" si="1"/>
        <v>3273.8130499999997</v>
      </c>
      <c r="K5" s="143"/>
      <c r="L5" s="143">
        <f t="shared" ref="L5:M5" si="2">L23/1000</f>
        <v>12818.64402</v>
      </c>
      <c r="M5" s="143">
        <f t="shared" si="2"/>
        <v>641.14892000000009</v>
      </c>
    </row>
    <row r="6" spans="1:17" x14ac:dyDescent="0.2">
      <c r="A6" s="144" t="s">
        <v>118</v>
      </c>
      <c r="B6" s="147">
        <v>2</v>
      </c>
      <c r="C6" s="143">
        <f t="shared" ref="C6:J16" si="3">C24/1000</f>
        <v>22554.50597863636</v>
      </c>
      <c r="D6" s="143">
        <f t="shared" si="3"/>
        <v>269.92919783908678</v>
      </c>
      <c r="E6" s="143">
        <f t="shared" si="3"/>
        <v>572.3689521609133</v>
      </c>
      <c r="F6" s="143">
        <f t="shared" si="3"/>
        <v>2511.66518</v>
      </c>
      <c r="G6" s="143">
        <f t="shared" si="3"/>
        <v>5676.7870700000003</v>
      </c>
      <c r="H6" s="143">
        <f t="shared" si="3"/>
        <v>51104.238060000003</v>
      </c>
      <c r="I6" s="143">
        <f t="shared" si="3"/>
        <v>1434.7650113636366</v>
      </c>
      <c r="J6" s="143">
        <f t="shared" si="3"/>
        <v>3400.83952</v>
      </c>
      <c r="K6" s="143"/>
      <c r="L6" s="143">
        <f t="shared" ref="L6:M6" si="4">L24/1000</f>
        <v>23989.270989999997</v>
      </c>
      <c r="M6" s="143">
        <f t="shared" si="4"/>
        <v>842.29815000000008</v>
      </c>
      <c r="P6" s="2"/>
      <c r="Q6" s="2"/>
    </row>
    <row r="7" spans="1:17" x14ac:dyDescent="0.2">
      <c r="A7" s="144" t="s">
        <v>119</v>
      </c>
      <c r="B7" s="147">
        <v>3</v>
      </c>
      <c r="C7" s="143">
        <f t="shared" si="3"/>
        <v>31646.990787129187</v>
      </c>
      <c r="D7" s="143">
        <f t="shared" si="3"/>
        <v>356.69545796412081</v>
      </c>
      <c r="E7" s="143">
        <f t="shared" si="3"/>
        <v>756.35169203587907</v>
      </c>
      <c r="F7" s="143">
        <f t="shared" si="3"/>
        <v>3292.8175099999999</v>
      </c>
      <c r="G7" s="143">
        <f t="shared" si="3"/>
        <v>28152.663329999999</v>
      </c>
      <c r="H7" s="143">
        <f t="shared" si="3"/>
        <v>60594.374360000002</v>
      </c>
      <c r="I7" s="143">
        <f t="shared" si="3"/>
        <v>2013.1673528708145</v>
      </c>
      <c r="J7" s="143">
        <f t="shared" si="3"/>
        <v>4489.7687400000004</v>
      </c>
      <c r="K7" s="143"/>
      <c r="L7" s="143">
        <f t="shared" ref="L7:M7" si="5">L25/1000</f>
        <v>33660.15814</v>
      </c>
      <c r="M7" s="143">
        <f t="shared" si="5"/>
        <v>1113.0471499999999</v>
      </c>
      <c r="P7" s="2"/>
      <c r="Q7" s="2"/>
    </row>
    <row r="8" spans="1:17" x14ac:dyDescent="0.2">
      <c r="A8" s="144" t="s">
        <v>120</v>
      </c>
      <c r="B8" s="147">
        <v>4</v>
      </c>
      <c r="C8" s="143">
        <f t="shared" si="3"/>
        <v>39736.217467248804</v>
      </c>
      <c r="D8" s="143">
        <f t="shared" si="3"/>
        <v>356.86714843707534</v>
      </c>
      <c r="E8" s="143">
        <f t="shared" si="3"/>
        <v>756.71575156292454</v>
      </c>
      <c r="F8" s="143">
        <f t="shared" si="3"/>
        <v>4248.9305700000004</v>
      </c>
      <c r="G8" s="143">
        <f t="shared" si="3"/>
        <v>35812.165560000001</v>
      </c>
      <c r="H8" s="143">
        <f t="shared" si="3"/>
        <v>78464.103879999995</v>
      </c>
      <c r="I8" s="143">
        <f t="shared" si="3"/>
        <v>2527.7492027511971</v>
      </c>
      <c r="J8" s="143">
        <f t="shared" si="3"/>
        <v>4927.4253699999999</v>
      </c>
      <c r="K8" s="143"/>
      <c r="L8" s="143">
        <f t="shared" ref="L8:M8" si="6">L26/1000</f>
        <v>42263.966670000002</v>
      </c>
      <c r="M8" s="143">
        <f t="shared" si="6"/>
        <v>1113.5828999999999</v>
      </c>
      <c r="P8" s="2"/>
    </row>
    <row r="9" spans="1:17" x14ac:dyDescent="0.2">
      <c r="A9" s="144" t="s">
        <v>121</v>
      </c>
      <c r="B9" s="147">
        <v>5</v>
      </c>
      <c r="C9" s="143">
        <f t="shared" si="3"/>
        <v>48816.39721069378</v>
      </c>
      <c r="D9" s="143">
        <f t="shared" si="3"/>
        <v>356.86714843707534</v>
      </c>
      <c r="E9" s="143">
        <f t="shared" si="3"/>
        <v>756.71575156292454</v>
      </c>
      <c r="F9" s="143">
        <f t="shared" si="3"/>
        <v>5143.4418499999992</v>
      </c>
      <c r="G9" s="143">
        <f t="shared" si="3"/>
        <v>36073.20422</v>
      </c>
      <c r="H9" s="143">
        <f t="shared" si="3"/>
        <v>103695.24664</v>
      </c>
      <c r="I9" s="143">
        <f t="shared" si="3"/>
        <v>3105.3687793062254</v>
      </c>
      <c r="J9" s="143">
        <f t="shared" si="3"/>
        <v>5317.6371399999998</v>
      </c>
      <c r="K9" s="143"/>
      <c r="L9" s="143">
        <f t="shared" ref="L9:M9" si="7">L27/1000</f>
        <v>51921.76599</v>
      </c>
      <c r="M9" s="143">
        <f t="shared" si="7"/>
        <v>1113.5828999999999</v>
      </c>
      <c r="P9" s="2"/>
    </row>
    <row r="10" spans="1:17" x14ac:dyDescent="0.2">
      <c r="A10" s="144" t="s">
        <v>122</v>
      </c>
      <c r="B10" s="147">
        <v>6</v>
      </c>
      <c r="C10" s="143">
        <f t="shared" si="3"/>
        <v>60179.576561483249</v>
      </c>
      <c r="D10" s="143">
        <f t="shared" si="3"/>
        <v>356.86714843707534</v>
      </c>
      <c r="E10" s="143">
        <f t="shared" si="3"/>
        <v>756.71575156292454</v>
      </c>
      <c r="F10" s="143">
        <f t="shared" si="3"/>
        <v>6229.1941799999995</v>
      </c>
      <c r="G10" s="143">
        <f t="shared" si="3"/>
        <v>60034.273280000001</v>
      </c>
      <c r="H10" s="143">
        <f t="shared" si="3"/>
        <v>121527.20284</v>
      </c>
      <c r="I10" s="143">
        <f t="shared" si="3"/>
        <v>3828.2173385167494</v>
      </c>
      <c r="J10" s="143">
        <f t="shared" si="3"/>
        <v>47977.817799999997</v>
      </c>
      <c r="K10" s="143"/>
      <c r="L10" s="143">
        <f t="shared" ref="L10:M10" si="8">L28/1000</f>
        <v>64007.793899999997</v>
      </c>
      <c r="M10" s="143">
        <f t="shared" si="8"/>
        <v>1113.5828999999999</v>
      </c>
      <c r="P10" s="2"/>
    </row>
    <row r="11" spans="1:17" x14ac:dyDescent="0.2">
      <c r="A11" s="144" t="s">
        <v>123</v>
      </c>
      <c r="B11" s="147">
        <v>7</v>
      </c>
      <c r="C11" s="143">
        <f t="shared" si="3"/>
        <v>71437.106286387556</v>
      </c>
      <c r="D11" s="143">
        <f t="shared" si="3"/>
        <v>550.14455377820059</v>
      </c>
      <c r="E11" s="143">
        <f t="shared" si="3"/>
        <v>1166.5490962217993</v>
      </c>
      <c r="F11" s="143">
        <f t="shared" si="3"/>
        <v>7596.78431</v>
      </c>
      <c r="G11" s="143">
        <f t="shared" si="3"/>
        <v>87496.798319999987</v>
      </c>
      <c r="H11" s="143">
        <f t="shared" si="3"/>
        <v>141074.44177</v>
      </c>
      <c r="I11" s="143">
        <f t="shared" si="3"/>
        <v>4544.3451836124359</v>
      </c>
      <c r="J11" s="143">
        <f t="shared" si="3"/>
        <v>51139.510909999997</v>
      </c>
      <c r="K11" s="143"/>
      <c r="L11" s="143">
        <f t="shared" ref="L11:M11" si="9">L29/1000</f>
        <v>75981.45147</v>
      </c>
      <c r="M11" s="143">
        <f t="shared" si="9"/>
        <v>1716.6936499999999</v>
      </c>
      <c r="P11" s="2"/>
    </row>
    <row r="12" spans="1:17" x14ac:dyDescent="0.2">
      <c r="A12" s="144" t="s">
        <v>124</v>
      </c>
      <c r="B12" s="147">
        <v>8</v>
      </c>
      <c r="C12" s="143">
        <f t="shared" si="3"/>
        <v>81913.264197416254</v>
      </c>
      <c r="D12" s="143">
        <f t="shared" si="3"/>
        <v>551.23053167165006</v>
      </c>
      <c r="E12" s="143">
        <f t="shared" si="3"/>
        <v>1168.8518483283499</v>
      </c>
      <c r="F12" s="143">
        <f t="shared" si="3"/>
        <v>8925.281289999999</v>
      </c>
      <c r="G12" s="143">
        <f t="shared" si="3"/>
        <v>87496.798319999987</v>
      </c>
      <c r="H12" s="143">
        <f t="shared" si="3"/>
        <v>170271.36742</v>
      </c>
      <c r="I12" s="143">
        <f t="shared" si="3"/>
        <v>5210.7674425837395</v>
      </c>
      <c r="J12" s="143">
        <f t="shared" si="3"/>
        <v>51832.662210000002</v>
      </c>
      <c r="K12" s="143"/>
      <c r="L12" s="143">
        <f t="shared" ref="L12:M12" si="10">L30/1000</f>
        <v>87124.031640000001</v>
      </c>
      <c r="M12" s="143">
        <f t="shared" si="10"/>
        <v>1720.0823799999998</v>
      </c>
      <c r="P12" s="2"/>
    </row>
    <row r="13" spans="1:17" x14ac:dyDescent="0.2">
      <c r="A13" s="144" t="s">
        <v>125</v>
      </c>
      <c r="B13" s="147">
        <v>9</v>
      </c>
      <c r="C13" s="143">
        <f t="shared" si="3"/>
        <v>92187.865148038269</v>
      </c>
      <c r="D13" s="143">
        <f t="shared" si="3"/>
        <v>1114.3061068442514</v>
      </c>
      <c r="E13" s="143">
        <f t="shared" si="3"/>
        <v>2362.8204131557486</v>
      </c>
      <c r="F13" s="143">
        <f t="shared" si="3"/>
        <v>10378.55899</v>
      </c>
      <c r="G13" s="143">
        <f t="shared" si="3"/>
        <v>107824.46351999999</v>
      </c>
      <c r="H13" s="143">
        <f t="shared" si="3"/>
        <v>184136.04730000001</v>
      </c>
      <c r="I13" s="143">
        <f t="shared" si="3"/>
        <v>5864.3680119617284</v>
      </c>
      <c r="J13" s="143">
        <f t="shared" si="3"/>
        <v>52263.944600000003</v>
      </c>
      <c r="K13" s="143"/>
      <c r="L13" s="143">
        <f t="shared" ref="L13:M13" si="11">L31/1000</f>
        <v>98052.233160000003</v>
      </c>
      <c r="M13" s="143">
        <f t="shared" si="11"/>
        <v>3477.1265199999998</v>
      </c>
      <c r="P13" s="2"/>
    </row>
    <row r="14" spans="1:17" x14ac:dyDescent="0.2">
      <c r="A14" s="144" t="s">
        <v>126</v>
      </c>
      <c r="B14" s="147">
        <v>10</v>
      </c>
      <c r="C14" s="143">
        <f t="shared" si="3"/>
        <v>102602.44442497609</v>
      </c>
      <c r="D14" s="143">
        <f t="shared" si="3"/>
        <v>1226.5361102935583</v>
      </c>
      <c r="E14" s="143">
        <f t="shared" si="3"/>
        <v>2600.7975197064416</v>
      </c>
      <c r="F14" s="143">
        <f t="shared" si="3"/>
        <v>11565.543820000001</v>
      </c>
      <c r="G14" s="143">
        <f t="shared" si="3"/>
        <v>114852.93498000001</v>
      </c>
      <c r="H14" s="143">
        <f t="shared" si="3"/>
        <v>205726.08844999998</v>
      </c>
      <c r="I14" s="143">
        <f t="shared" si="3"/>
        <v>6526.8730550239234</v>
      </c>
      <c r="J14" s="143">
        <f t="shared" si="3"/>
        <v>52490.901290000002</v>
      </c>
      <c r="K14" s="143"/>
      <c r="L14" s="143">
        <f t="shared" ref="L14:M14" si="12">L32/1000</f>
        <v>109129.31748</v>
      </c>
      <c r="M14" s="143">
        <f t="shared" si="12"/>
        <v>3827.3336300000001</v>
      </c>
      <c r="P14" s="2"/>
    </row>
    <row r="15" spans="1:17" x14ac:dyDescent="0.2">
      <c r="A15" s="144" t="s">
        <v>127</v>
      </c>
      <c r="B15" s="147">
        <v>11</v>
      </c>
      <c r="C15" s="143">
        <f t="shared" si="3"/>
        <v>113977.27532318181</v>
      </c>
      <c r="D15" s="143">
        <f t="shared" si="3"/>
        <v>1309.9772699510738</v>
      </c>
      <c r="E15" s="143">
        <f t="shared" si="3"/>
        <v>2777.729580048926</v>
      </c>
      <c r="F15" s="143">
        <f t="shared" si="3"/>
        <v>12587.909089999999</v>
      </c>
      <c r="G15" s="143">
        <f t="shared" si="3"/>
        <v>115738.54213</v>
      </c>
      <c r="H15" s="143">
        <f t="shared" si="3"/>
        <v>234994.89121999999</v>
      </c>
      <c r="I15" s="143">
        <f t="shared" si="3"/>
        <v>7250.4628068181873</v>
      </c>
      <c r="J15" s="143">
        <f t="shared" si="3"/>
        <v>52586.78314</v>
      </c>
      <c r="K15" s="143"/>
      <c r="L15" s="143">
        <f t="shared" ref="L15:M15" si="13">L33/1000</f>
        <v>121227.73813</v>
      </c>
      <c r="M15" s="143">
        <f t="shared" si="13"/>
        <v>4087.70685</v>
      </c>
      <c r="P15" s="2"/>
    </row>
    <row r="16" spans="1:17" x14ac:dyDescent="0.2">
      <c r="A16" s="144" t="s">
        <v>128</v>
      </c>
      <c r="B16" s="147">
        <v>12</v>
      </c>
      <c r="C16" s="143">
        <f t="shared" si="3"/>
        <v>127175.23393593301</v>
      </c>
      <c r="D16" s="143">
        <f t="shared" si="3"/>
        <v>2458.1938267110631</v>
      </c>
      <c r="E16" s="143">
        <f t="shared" si="3"/>
        <v>5212.4551032889367</v>
      </c>
      <c r="F16" s="143">
        <f t="shared" si="3"/>
        <v>13570.169749999999</v>
      </c>
      <c r="G16" s="143">
        <f t="shared" si="3"/>
        <v>140225.16475</v>
      </c>
      <c r="H16" s="143">
        <f t="shared" si="3"/>
        <v>257034.12271999998</v>
      </c>
      <c r="I16" s="143">
        <f t="shared" si="3"/>
        <v>8090.0276040669833</v>
      </c>
      <c r="J16" s="143">
        <f t="shared" si="3"/>
        <v>70281.890849999996</v>
      </c>
      <c r="K16" s="143"/>
      <c r="L16" s="143">
        <f t="shared" ref="L16:M16" si="14">L34/1000</f>
        <v>135265.26153999998</v>
      </c>
      <c r="M16" s="143">
        <f t="shared" si="14"/>
        <v>7670.6489299999994</v>
      </c>
      <c r="P16" s="2"/>
    </row>
    <row r="17" spans="1:16" x14ac:dyDescent="0.2">
      <c r="P17" s="2"/>
    </row>
    <row r="18" spans="1:16" x14ac:dyDescent="0.2">
      <c r="P18" s="2"/>
    </row>
    <row r="19" spans="1:16" x14ac:dyDescent="0.2">
      <c r="A19" s="140"/>
      <c r="B19" s="145"/>
      <c r="C19" s="12" t="s">
        <v>19</v>
      </c>
      <c r="D19" s="13" t="s">
        <v>20</v>
      </c>
      <c r="E19" s="13" t="s">
        <v>20</v>
      </c>
      <c r="F19" s="14" t="s">
        <v>21</v>
      </c>
      <c r="G19" s="14" t="s">
        <v>22</v>
      </c>
      <c r="H19" s="14" t="s">
        <v>23</v>
      </c>
      <c r="I19" s="12" t="s">
        <v>19</v>
      </c>
      <c r="J19" s="14" t="s">
        <v>24</v>
      </c>
      <c r="P19" s="2"/>
    </row>
    <row r="20" spans="1:16" ht="13.5" thickBot="1" x14ac:dyDescent="0.25">
      <c r="A20" s="141" t="s">
        <v>0</v>
      </c>
      <c r="B20" s="146"/>
      <c r="C20" s="15" t="s">
        <v>26</v>
      </c>
      <c r="D20" s="15" t="s">
        <v>27</v>
      </c>
      <c r="E20" s="16" t="s">
        <v>28</v>
      </c>
      <c r="F20" s="15" t="s">
        <v>29</v>
      </c>
      <c r="G20" s="15" t="s">
        <v>30</v>
      </c>
      <c r="H20" s="15" t="s">
        <v>31</v>
      </c>
      <c r="I20" s="16" t="s">
        <v>32</v>
      </c>
      <c r="J20" s="16" t="s">
        <v>33</v>
      </c>
      <c r="K20" s="1"/>
      <c r="L20" s="1" t="s">
        <v>2</v>
      </c>
      <c r="M20" s="1" t="s">
        <v>4</v>
      </c>
      <c r="P20" s="2"/>
    </row>
    <row r="21" spans="1:16" ht="26.25" thickBot="1" x14ac:dyDescent="0.25">
      <c r="A21" s="141" t="s">
        <v>1</v>
      </c>
      <c r="B21" s="146"/>
      <c r="C21" s="17" t="s">
        <v>35</v>
      </c>
      <c r="D21" s="18" t="s">
        <v>36</v>
      </c>
      <c r="E21" s="19" t="s">
        <v>37</v>
      </c>
      <c r="F21" s="19" t="s">
        <v>38</v>
      </c>
      <c r="G21" s="18" t="s">
        <v>39</v>
      </c>
      <c r="H21" s="18" t="s">
        <v>6</v>
      </c>
      <c r="I21" s="19" t="s">
        <v>40</v>
      </c>
      <c r="J21" s="20" t="s">
        <v>41</v>
      </c>
      <c r="K21" s="1"/>
      <c r="L21" s="1" t="s">
        <v>3</v>
      </c>
      <c r="M21" s="1" t="s">
        <v>5</v>
      </c>
    </row>
    <row r="22" spans="1:16" x14ac:dyDescent="0.2">
      <c r="A22" s="142" t="s">
        <v>7</v>
      </c>
      <c r="B22" s="146"/>
      <c r="C22" s="171">
        <f>L22*L53</f>
        <v>117523.92344497607</v>
      </c>
      <c r="D22" s="171">
        <f>M22-E22</f>
        <v>1762.571350910574</v>
      </c>
      <c r="E22" s="171">
        <f>M22*M53</f>
        <v>3737.428649089426</v>
      </c>
      <c r="F22" s="171">
        <v>11000</v>
      </c>
      <c r="G22" s="171">
        <v>122000</v>
      </c>
      <c r="H22" s="171">
        <v>254164</v>
      </c>
      <c r="I22" s="171">
        <f>L22-C22</f>
        <v>7476.0765550239303</v>
      </c>
      <c r="J22" s="171">
        <v>65000</v>
      </c>
      <c r="L22" s="172">
        <v>125000</v>
      </c>
      <c r="M22" s="172">
        <v>5500</v>
      </c>
    </row>
    <row r="23" spans="1:16" x14ac:dyDescent="0.2">
      <c r="A23" s="144" t="s">
        <v>117</v>
      </c>
      <c r="B23" s="147">
        <v>1</v>
      </c>
      <c r="C23" s="143">
        <f>L23*$L$53</f>
        <v>12051978.707799042</v>
      </c>
      <c r="D23" s="171">
        <f>M23-E23</f>
        <v>205467.40328350099</v>
      </c>
      <c r="E23" s="143">
        <f>M23*$M$53</f>
        <v>435681.51671649906</v>
      </c>
      <c r="F23" s="2">
        <v>988408.9</v>
      </c>
      <c r="G23" s="2">
        <v>4639121.74</v>
      </c>
      <c r="H23" s="2">
        <v>21499945.640000001</v>
      </c>
      <c r="I23" s="171">
        <f t="shared" ref="I23:I34" si="15">L23-C23</f>
        <v>766665.31220095791</v>
      </c>
      <c r="J23" s="2">
        <v>3273813.05</v>
      </c>
      <c r="L23" s="2">
        <v>12818644.02</v>
      </c>
      <c r="M23" s="2">
        <v>641148.92000000004</v>
      </c>
    </row>
    <row r="24" spans="1:16" x14ac:dyDescent="0.2">
      <c r="A24" s="144" t="s">
        <v>118</v>
      </c>
      <c r="B24" s="147">
        <v>2</v>
      </c>
      <c r="C24" s="143">
        <f t="shared" ref="C24:C34" si="16">L24*$L$53</f>
        <v>22554505.978636362</v>
      </c>
      <c r="D24" s="171">
        <f t="shared" ref="D24:D34" si="17">M24-E24</f>
        <v>269929.19783908676</v>
      </c>
      <c r="E24" s="143">
        <f t="shared" ref="E24:E34" si="18">M24*$M$53</f>
        <v>572368.95216091326</v>
      </c>
      <c r="F24" s="2">
        <v>2511665.1800000002</v>
      </c>
      <c r="G24" s="2">
        <v>5676787.0700000003</v>
      </c>
      <c r="H24" s="2">
        <v>51104238.060000002</v>
      </c>
      <c r="I24" s="171">
        <f t="shared" si="15"/>
        <v>1434765.0113636367</v>
      </c>
      <c r="J24" s="2">
        <v>3400839.52</v>
      </c>
      <c r="L24" s="2">
        <v>23989270.989999998</v>
      </c>
      <c r="M24" s="2">
        <v>842298.15</v>
      </c>
    </row>
    <row r="25" spans="1:16" x14ac:dyDescent="0.2">
      <c r="A25" s="144" t="s">
        <v>119</v>
      </c>
      <c r="B25" s="147">
        <v>3</v>
      </c>
      <c r="C25" s="143">
        <f t="shared" si="16"/>
        <v>31646990.787129186</v>
      </c>
      <c r="D25" s="171">
        <f t="shared" si="17"/>
        <v>356695.45796412078</v>
      </c>
      <c r="E25" s="143">
        <f t="shared" si="18"/>
        <v>756351.69203587912</v>
      </c>
      <c r="F25" s="2">
        <v>3292817.51</v>
      </c>
      <c r="G25" s="2">
        <v>28152663.329999998</v>
      </c>
      <c r="H25" s="2">
        <v>60594374.359999999</v>
      </c>
      <c r="I25" s="171">
        <f t="shared" si="15"/>
        <v>2013167.3528708145</v>
      </c>
      <c r="J25" s="2">
        <v>4489768.74</v>
      </c>
      <c r="L25" s="2">
        <v>33660158.140000001</v>
      </c>
      <c r="M25" s="2">
        <v>1113047.1499999999</v>
      </c>
    </row>
    <row r="26" spans="1:16" x14ac:dyDescent="0.2">
      <c r="A26" s="144" t="s">
        <v>120</v>
      </c>
      <c r="B26" s="147">
        <v>4</v>
      </c>
      <c r="C26" s="143">
        <f t="shared" si="16"/>
        <v>39736217.467248805</v>
      </c>
      <c r="D26" s="171">
        <f t="shared" si="17"/>
        <v>356867.14843707532</v>
      </c>
      <c r="E26" s="143">
        <f t="shared" si="18"/>
        <v>756715.75156292459</v>
      </c>
      <c r="F26" s="2">
        <v>4248930.57</v>
      </c>
      <c r="G26" s="2">
        <v>35812165.560000002</v>
      </c>
      <c r="H26" s="2">
        <v>78464103.879999995</v>
      </c>
      <c r="I26" s="171">
        <f t="shared" si="15"/>
        <v>2527749.2027511969</v>
      </c>
      <c r="J26" s="2">
        <v>4927425.37</v>
      </c>
      <c r="L26" s="2">
        <v>42263966.670000002</v>
      </c>
      <c r="M26" s="2">
        <v>1113582.8999999999</v>
      </c>
    </row>
    <row r="27" spans="1:16" x14ac:dyDescent="0.2">
      <c r="A27" s="144" t="s">
        <v>121</v>
      </c>
      <c r="B27" s="147">
        <v>5</v>
      </c>
      <c r="C27" s="143">
        <f t="shared" si="16"/>
        <v>48816397.210693777</v>
      </c>
      <c r="D27" s="171">
        <f t="shared" si="17"/>
        <v>356867.14843707532</v>
      </c>
      <c r="E27" s="143">
        <f t="shared" si="18"/>
        <v>756715.75156292459</v>
      </c>
      <c r="F27" s="2">
        <v>5143441.8499999996</v>
      </c>
      <c r="G27" s="2">
        <v>36073204.219999999</v>
      </c>
      <c r="H27" s="2">
        <v>103695246.64</v>
      </c>
      <c r="I27" s="171">
        <f t="shared" si="15"/>
        <v>3105368.7793062255</v>
      </c>
      <c r="J27" s="2">
        <v>5317637.1399999997</v>
      </c>
      <c r="L27" s="2">
        <v>51921765.990000002</v>
      </c>
      <c r="M27" s="2">
        <v>1113582.8999999999</v>
      </c>
    </row>
    <row r="28" spans="1:16" x14ac:dyDescent="0.2">
      <c r="A28" s="144" t="s">
        <v>122</v>
      </c>
      <c r="B28" s="147">
        <v>6</v>
      </c>
      <c r="C28" s="143">
        <f t="shared" si="16"/>
        <v>60179576.561483249</v>
      </c>
      <c r="D28" s="171">
        <f t="shared" si="17"/>
        <v>356867.14843707532</v>
      </c>
      <c r="E28" s="143">
        <f t="shared" si="18"/>
        <v>756715.75156292459</v>
      </c>
      <c r="F28" s="2">
        <v>6229194.1799999997</v>
      </c>
      <c r="G28" s="2">
        <v>60034273.280000001</v>
      </c>
      <c r="H28" s="2">
        <v>121527202.84</v>
      </c>
      <c r="I28" s="171">
        <f t="shared" si="15"/>
        <v>3828217.3385167494</v>
      </c>
      <c r="J28" s="2">
        <v>47977817.799999997</v>
      </c>
      <c r="L28" s="2">
        <v>64007793.899999999</v>
      </c>
      <c r="M28" s="2">
        <v>1113582.8999999999</v>
      </c>
    </row>
    <row r="29" spans="1:16" x14ac:dyDescent="0.2">
      <c r="A29" s="144" t="s">
        <v>123</v>
      </c>
      <c r="B29" s="147">
        <v>7</v>
      </c>
      <c r="C29" s="143">
        <f t="shared" si="16"/>
        <v>71437106.286387563</v>
      </c>
      <c r="D29" s="171">
        <f t="shared" si="17"/>
        <v>550144.55377820064</v>
      </c>
      <c r="E29" s="143">
        <f t="shared" si="18"/>
        <v>1166549.0962217993</v>
      </c>
      <c r="F29" s="2">
        <v>7596784.3099999996</v>
      </c>
      <c r="G29" s="2">
        <v>87496798.319999993</v>
      </c>
      <c r="H29" s="2">
        <v>141074441.77000001</v>
      </c>
      <c r="I29" s="171">
        <f t="shared" si="15"/>
        <v>4544345.1836124361</v>
      </c>
      <c r="J29" s="2">
        <v>51139510.909999996</v>
      </c>
      <c r="L29" s="2">
        <v>75981451.469999999</v>
      </c>
      <c r="M29" s="2">
        <v>1716693.65</v>
      </c>
    </row>
    <row r="30" spans="1:16" x14ac:dyDescent="0.2">
      <c r="A30" s="144" t="s">
        <v>124</v>
      </c>
      <c r="B30" s="147">
        <v>8</v>
      </c>
      <c r="C30" s="143">
        <f t="shared" si="16"/>
        <v>81913264.197416261</v>
      </c>
      <c r="D30" s="171">
        <f t="shared" si="17"/>
        <v>551230.53167165001</v>
      </c>
      <c r="E30" s="143">
        <f t="shared" si="18"/>
        <v>1168851.8483283499</v>
      </c>
      <c r="F30" s="2">
        <v>8925281.2899999991</v>
      </c>
      <c r="G30" s="2">
        <v>87496798.319999993</v>
      </c>
      <c r="H30" s="2">
        <v>170271367.41999999</v>
      </c>
      <c r="I30" s="171">
        <f t="shared" si="15"/>
        <v>5210767.4425837398</v>
      </c>
      <c r="J30" s="2">
        <v>51832662.210000001</v>
      </c>
      <c r="L30" s="2">
        <v>87124031.640000001</v>
      </c>
      <c r="M30" s="2">
        <v>1720082.38</v>
      </c>
    </row>
    <row r="31" spans="1:16" x14ac:dyDescent="0.2">
      <c r="A31" s="144" t="s">
        <v>125</v>
      </c>
      <c r="B31" s="147">
        <v>9</v>
      </c>
      <c r="C31" s="143">
        <f t="shared" si="16"/>
        <v>92187865.148038268</v>
      </c>
      <c r="D31" s="171">
        <f t="shared" si="17"/>
        <v>1114306.1068442515</v>
      </c>
      <c r="E31" s="143">
        <f t="shared" si="18"/>
        <v>2362820.4131557485</v>
      </c>
      <c r="F31" s="2">
        <v>10378558.99</v>
      </c>
      <c r="G31" s="2">
        <v>107824463.52</v>
      </c>
      <c r="H31" s="2">
        <v>184136047.30000001</v>
      </c>
      <c r="I31" s="171">
        <f t="shared" si="15"/>
        <v>5864368.0119617283</v>
      </c>
      <c r="J31" s="2">
        <v>52263944.600000001</v>
      </c>
      <c r="L31" s="2">
        <v>98052233.159999996</v>
      </c>
      <c r="M31" s="2">
        <v>3477126.52</v>
      </c>
    </row>
    <row r="32" spans="1:16" x14ac:dyDescent="0.2">
      <c r="A32" s="144" t="s">
        <v>126</v>
      </c>
      <c r="B32" s="147">
        <v>10</v>
      </c>
      <c r="C32" s="143">
        <f t="shared" si="16"/>
        <v>102602444.42497608</v>
      </c>
      <c r="D32" s="171">
        <f t="shared" si="17"/>
        <v>1226536.1102935583</v>
      </c>
      <c r="E32" s="143">
        <f t="shared" si="18"/>
        <v>2600797.5197064416</v>
      </c>
      <c r="F32" s="2">
        <v>11565543.82</v>
      </c>
      <c r="G32" s="2">
        <v>114852934.98</v>
      </c>
      <c r="H32" s="2">
        <v>205726088.44999999</v>
      </c>
      <c r="I32" s="171">
        <f t="shared" si="15"/>
        <v>6526873.0550239235</v>
      </c>
      <c r="J32" s="2">
        <v>52490901.289999999</v>
      </c>
      <c r="L32" s="2">
        <v>109129317.48</v>
      </c>
      <c r="M32" s="2">
        <v>3827333.63</v>
      </c>
    </row>
    <row r="33" spans="1:13" x14ac:dyDescent="0.2">
      <c r="A33" s="144" t="s">
        <v>127</v>
      </c>
      <c r="B33" s="147">
        <v>11</v>
      </c>
      <c r="C33" s="143">
        <f t="shared" si="16"/>
        <v>113977275.32318181</v>
      </c>
      <c r="D33" s="171">
        <f t="shared" si="17"/>
        <v>1309977.2699510739</v>
      </c>
      <c r="E33" s="143">
        <f t="shared" si="18"/>
        <v>2777729.5800489262</v>
      </c>
      <c r="F33" s="2">
        <v>12587909.09</v>
      </c>
      <c r="G33" s="2">
        <v>115738542.13</v>
      </c>
      <c r="H33" s="2">
        <v>234994891.22</v>
      </c>
      <c r="I33" s="171">
        <f t="shared" si="15"/>
        <v>7250462.8068181872</v>
      </c>
      <c r="J33" s="2">
        <v>52586783.140000001</v>
      </c>
      <c r="L33" s="2">
        <v>121227738.13</v>
      </c>
      <c r="M33" s="2">
        <v>4087706.85</v>
      </c>
    </row>
    <row r="34" spans="1:13" x14ac:dyDescent="0.2">
      <c r="A34" s="144" t="s">
        <v>128</v>
      </c>
      <c r="B34" s="147">
        <v>12</v>
      </c>
      <c r="C34" s="143">
        <f t="shared" si="16"/>
        <v>127175233.93593301</v>
      </c>
      <c r="D34" s="171">
        <f t="shared" si="17"/>
        <v>2458193.8267110633</v>
      </c>
      <c r="E34" s="143">
        <f t="shared" si="18"/>
        <v>5212455.1032889364</v>
      </c>
      <c r="F34" s="173">
        <v>13570169.75</v>
      </c>
      <c r="G34" s="173">
        <v>140225164.75</v>
      </c>
      <c r="H34" s="173">
        <v>257034122.72</v>
      </c>
      <c r="I34" s="171">
        <f t="shared" si="15"/>
        <v>8090027.6040669829</v>
      </c>
      <c r="J34" s="173">
        <v>70281890.849999994</v>
      </c>
      <c r="L34" s="173">
        <v>135265261.53999999</v>
      </c>
      <c r="M34" s="173">
        <v>7670648.9299999997</v>
      </c>
    </row>
    <row r="37" spans="1:13" x14ac:dyDescent="0.2">
      <c r="A37" s="140"/>
      <c r="B37" s="145"/>
      <c r="C37" s="12" t="s">
        <v>19</v>
      </c>
      <c r="D37" s="13" t="s">
        <v>20</v>
      </c>
      <c r="E37" s="13" t="s">
        <v>20</v>
      </c>
      <c r="F37" s="14" t="s">
        <v>21</v>
      </c>
      <c r="G37" s="14" t="s">
        <v>22</v>
      </c>
      <c r="H37" s="14" t="s">
        <v>23</v>
      </c>
      <c r="I37" s="12" t="s">
        <v>19</v>
      </c>
      <c r="J37" s="14" t="s">
        <v>24</v>
      </c>
    </row>
    <row r="38" spans="1:13" ht="13.5" thickBot="1" x14ac:dyDescent="0.25">
      <c r="A38" s="141" t="s">
        <v>0</v>
      </c>
      <c r="B38" s="146"/>
      <c r="C38" s="15" t="s">
        <v>26</v>
      </c>
      <c r="D38" s="15" t="s">
        <v>27</v>
      </c>
      <c r="E38" s="16" t="s">
        <v>28</v>
      </c>
      <c r="F38" s="15" t="s">
        <v>29</v>
      </c>
      <c r="G38" s="15" t="s">
        <v>30</v>
      </c>
      <c r="H38" s="15" t="s">
        <v>31</v>
      </c>
      <c r="I38" s="16" t="s">
        <v>32</v>
      </c>
      <c r="J38" s="16" t="s">
        <v>33</v>
      </c>
      <c r="K38" s="1"/>
      <c r="L38" s="1" t="s">
        <v>2</v>
      </c>
      <c r="M38" s="1" t="s">
        <v>4</v>
      </c>
    </row>
    <row r="39" spans="1:13" ht="26.25" thickBot="1" x14ac:dyDescent="0.25">
      <c r="A39" s="141" t="s">
        <v>1</v>
      </c>
      <c r="B39" s="146"/>
      <c r="C39" s="17" t="s">
        <v>35</v>
      </c>
      <c r="D39" s="18" t="s">
        <v>36</v>
      </c>
      <c r="E39" s="19" t="s">
        <v>37</v>
      </c>
      <c r="F39" s="19" t="s">
        <v>38</v>
      </c>
      <c r="G39" s="18" t="s">
        <v>39</v>
      </c>
      <c r="H39" s="18" t="s">
        <v>6</v>
      </c>
      <c r="I39" s="19" t="s">
        <v>40</v>
      </c>
      <c r="J39" s="20" t="s">
        <v>41</v>
      </c>
      <c r="K39" s="1"/>
      <c r="L39" s="1" t="s">
        <v>3</v>
      </c>
      <c r="M39" s="1" t="s">
        <v>5</v>
      </c>
    </row>
    <row r="40" spans="1:13" x14ac:dyDescent="0.2">
      <c r="A40" s="142" t="s">
        <v>7</v>
      </c>
      <c r="B40" s="146"/>
      <c r="C40" s="143">
        <v>111181.39234449761</v>
      </c>
      <c r="D40" s="143">
        <v>3636.3449306876864</v>
      </c>
      <c r="E40" s="143">
        <v>7710.6550693123127</v>
      </c>
      <c r="F40" s="143">
        <v>9797</v>
      </c>
      <c r="G40" s="143">
        <v>108260</v>
      </c>
      <c r="H40" s="143">
        <v>238920</v>
      </c>
      <c r="I40" s="143">
        <v>7072.6076555023919</v>
      </c>
      <c r="J40" s="143">
        <v>63315</v>
      </c>
      <c r="L40" s="2">
        <v>118254</v>
      </c>
      <c r="M40" s="2">
        <v>11347</v>
      </c>
    </row>
    <row r="41" spans="1:13" x14ac:dyDescent="0.2">
      <c r="A41" s="144" t="s">
        <v>97</v>
      </c>
      <c r="B41" s="147">
        <v>1</v>
      </c>
      <c r="C41" s="143">
        <v>11215.984641889952</v>
      </c>
      <c r="D41" s="143">
        <v>33.425553718401737</v>
      </c>
      <c r="E41" s="143">
        <v>70.876916281598255</v>
      </c>
      <c r="F41" s="143">
        <v>1149.86284</v>
      </c>
      <c r="G41" s="143">
        <v>3613.9687100000001</v>
      </c>
      <c r="H41" s="143">
        <v>19905.83527</v>
      </c>
      <c r="I41" s="143">
        <v>713.48502811004789</v>
      </c>
      <c r="J41" s="143">
        <v>2854.4364300000002</v>
      </c>
      <c r="L41" s="2">
        <v>11929.46967</v>
      </c>
      <c r="M41" s="2">
        <v>104.30247</v>
      </c>
    </row>
    <row r="42" spans="1:13" x14ac:dyDescent="0.2">
      <c r="A42" s="144" t="s">
        <v>99</v>
      </c>
      <c r="B42" s="147">
        <v>2</v>
      </c>
      <c r="C42" s="143">
        <v>20708.300796387557</v>
      </c>
      <c r="D42" s="143">
        <v>33.438273074204943</v>
      </c>
      <c r="E42" s="143">
        <v>70.903886925795049</v>
      </c>
      <c r="F42" s="143">
        <v>2866.6093799999999</v>
      </c>
      <c r="G42" s="143">
        <v>4534.6850000000004</v>
      </c>
      <c r="H42" s="143">
        <v>49327.307179999996</v>
      </c>
      <c r="I42" s="143">
        <v>1317.32193361244</v>
      </c>
      <c r="J42" s="143">
        <v>3129.5311200000001</v>
      </c>
      <c r="L42" s="2">
        <v>22025.622729999999</v>
      </c>
      <c r="M42" s="2">
        <v>104.34216000000001</v>
      </c>
    </row>
    <row r="43" spans="1:13" x14ac:dyDescent="0.2">
      <c r="A43" s="144" t="s">
        <v>98</v>
      </c>
      <c r="B43" s="147">
        <v>3</v>
      </c>
      <c r="C43" s="143">
        <v>28726.606536674637</v>
      </c>
      <c r="D43" s="143">
        <v>133.81256145419951</v>
      </c>
      <c r="E43" s="143">
        <v>283.74164854580044</v>
      </c>
      <c r="F43" s="143">
        <v>3580.2168900000001</v>
      </c>
      <c r="G43" s="143">
        <v>4994.9693399999996</v>
      </c>
      <c r="H43" s="143">
        <v>69268.376250000001</v>
      </c>
      <c r="I43" s="143">
        <v>1827.3922733253587</v>
      </c>
      <c r="J43" s="143">
        <v>3527.5267000000003</v>
      </c>
      <c r="L43" s="2">
        <v>30553.998809999997</v>
      </c>
      <c r="M43" s="2">
        <v>417.55421000000001</v>
      </c>
    </row>
    <row r="44" spans="1:13" x14ac:dyDescent="0.2">
      <c r="A44" s="144" t="s">
        <v>100</v>
      </c>
      <c r="B44" s="147">
        <v>4</v>
      </c>
      <c r="C44" s="143">
        <v>35667.107031602871</v>
      </c>
      <c r="D44" s="143">
        <v>135.41012728458819</v>
      </c>
      <c r="E44" s="143">
        <v>287.12919271541176</v>
      </c>
      <c r="F44" s="143">
        <v>4413.6235299999998</v>
      </c>
      <c r="G44" s="143">
        <v>31483.396410000001</v>
      </c>
      <c r="H44" s="143">
        <v>73838.123480000009</v>
      </c>
      <c r="I44" s="143">
        <v>2268.8999383971295</v>
      </c>
      <c r="J44" s="143">
        <v>3589.3786099999998</v>
      </c>
      <c r="L44" s="2">
        <v>37936.006970000002</v>
      </c>
      <c r="M44" s="2">
        <v>422.53932000000003</v>
      </c>
    </row>
    <row r="45" spans="1:13" x14ac:dyDescent="0.2">
      <c r="A45" s="144" t="s">
        <v>101</v>
      </c>
      <c r="B45" s="147">
        <v>5</v>
      </c>
      <c r="C45" s="143">
        <v>43792.06124770335</v>
      </c>
      <c r="D45" s="143">
        <v>141.4939948165262</v>
      </c>
      <c r="E45" s="143">
        <v>300.02967518347373</v>
      </c>
      <c r="F45" s="143">
        <v>5350.1628899999996</v>
      </c>
      <c r="G45" s="143">
        <v>31674.034480000002</v>
      </c>
      <c r="H45" s="143">
        <v>100738.62711</v>
      </c>
      <c r="I45" s="143">
        <v>2785.7545322966512</v>
      </c>
      <c r="J45" s="143">
        <v>3589.3786099999998</v>
      </c>
      <c r="L45" s="2">
        <v>46577.815780000004</v>
      </c>
      <c r="M45" s="2">
        <v>441.52366999999998</v>
      </c>
    </row>
    <row r="46" spans="1:13" x14ac:dyDescent="0.2">
      <c r="A46" s="144" t="s">
        <v>102</v>
      </c>
      <c r="B46" s="147">
        <v>6</v>
      </c>
      <c r="C46" s="143">
        <v>53015.518843923441</v>
      </c>
      <c r="D46" s="143">
        <v>145.51701905952703</v>
      </c>
      <c r="E46" s="143">
        <v>308.56026094047292</v>
      </c>
      <c r="F46" s="143">
        <v>6361.4427999999998</v>
      </c>
      <c r="G46" s="143">
        <v>52110.401709999998</v>
      </c>
      <c r="H46" s="143">
        <v>114181.11426999999</v>
      </c>
      <c r="I46" s="143">
        <v>3372.4884760765549</v>
      </c>
      <c r="J46" s="143">
        <v>45986.692040000002</v>
      </c>
      <c r="L46" s="2">
        <v>56388.007319999997</v>
      </c>
      <c r="M46" s="2">
        <v>454.07728000000003</v>
      </c>
    </row>
    <row r="47" spans="1:13" x14ac:dyDescent="0.2">
      <c r="A47" s="144" t="s">
        <v>103</v>
      </c>
      <c r="B47" s="147">
        <v>7</v>
      </c>
      <c r="C47" s="143">
        <v>62341.819763971289</v>
      </c>
      <c r="D47" s="143">
        <v>147.90196076379448</v>
      </c>
      <c r="E47" s="143">
        <v>313.61738923620544</v>
      </c>
      <c r="F47" s="143">
        <v>7728.4335099999998</v>
      </c>
      <c r="G47" s="143">
        <v>79461.628779999999</v>
      </c>
      <c r="H47" s="143">
        <v>132921.85193999999</v>
      </c>
      <c r="I47" s="143">
        <v>3965.7646160287081</v>
      </c>
      <c r="J47" s="143">
        <v>47415.66388</v>
      </c>
      <c r="L47" s="2">
        <v>66307.58438</v>
      </c>
      <c r="M47" s="2">
        <v>461.51934999999997</v>
      </c>
    </row>
    <row r="48" spans="1:13" x14ac:dyDescent="0.2">
      <c r="A48" s="144" t="s">
        <v>104</v>
      </c>
      <c r="B48" s="147">
        <v>8</v>
      </c>
      <c r="C48" s="143">
        <v>71294.778205550232</v>
      </c>
      <c r="D48" s="143">
        <v>163.30901354987768</v>
      </c>
      <c r="E48" s="143">
        <v>346.28713645012232</v>
      </c>
      <c r="F48" s="143">
        <v>9005.0165699999998</v>
      </c>
      <c r="G48" s="143">
        <v>79461.628779999999</v>
      </c>
      <c r="H48" s="143">
        <v>163087.16026</v>
      </c>
      <c r="I48" s="143">
        <v>4535.2912344497599</v>
      </c>
      <c r="J48" s="143">
        <v>48166.706399999995</v>
      </c>
      <c r="L48" s="2">
        <v>75830.069439999992</v>
      </c>
      <c r="M48" s="2">
        <v>509.59615000000002</v>
      </c>
    </row>
    <row r="49" spans="1:13" x14ac:dyDescent="0.2">
      <c r="A49" s="144" t="s">
        <v>105</v>
      </c>
      <c r="B49" s="147">
        <v>9</v>
      </c>
      <c r="C49" s="143">
        <v>80379.786452296641</v>
      </c>
      <c r="D49" s="143">
        <v>454.56535678173407</v>
      </c>
      <c r="E49" s="143">
        <v>963.87904321826568</v>
      </c>
      <c r="F49" s="143">
        <v>10282.229640000001</v>
      </c>
      <c r="G49" s="143">
        <v>97137.403919999997</v>
      </c>
      <c r="H49" s="143">
        <v>179638.74543000001</v>
      </c>
      <c r="I49" s="143">
        <v>5113.2179677033491</v>
      </c>
      <c r="J49" s="143">
        <v>48533.171479999997</v>
      </c>
      <c r="L49" s="2">
        <v>85493.004419999997</v>
      </c>
      <c r="M49" s="2">
        <v>1418.4443999999999</v>
      </c>
    </row>
    <row r="50" spans="1:13" x14ac:dyDescent="0.2">
      <c r="A50" s="144" t="s">
        <v>106</v>
      </c>
      <c r="B50" s="147">
        <v>10</v>
      </c>
      <c r="C50" s="143">
        <v>89989.092482727254</v>
      </c>
      <c r="D50" s="143">
        <v>651.73275068496866</v>
      </c>
      <c r="E50" s="143">
        <v>1381.9608793150312</v>
      </c>
      <c r="F50" s="143">
        <v>11356.72783</v>
      </c>
      <c r="G50" s="143">
        <v>101886.26969</v>
      </c>
      <c r="H50" s="143">
        <v>195506.26293999999</v>
      </c>
      <c r="I50" s="143">
        <v>5724.4969772727263</v>
      </c>
      <c r="J50" s="143">
        <v>48898.260849999999</v>
      </c>
      <c r="L50" s="2">
        <v>95713.589459999988</v>
      </c>
      <c r="M50" s="2">
        <v>2033.69363</v>
      </c>
    </row>
    <row r="51" spans="1:13" x14ac:dyDescent="0.2">
      <c r="A51" s="144" t="s">
        <v>107</v>
      </c>
      <c r="B51" s="147">
        <v>11</v>
      </c>
      <c r="C51" s="143">
        <v>99327.05039389951</v>
      </c>
      <c r="D51" s="143">
        <v>672.23880381625429</v>
      </c>
      <c r="E51" s="143">
        <v>1425.4427561837454</v>
      </c>
      <c r="F51" s="143">
        <v>12389.859400000001</v>
      </c>
      <c r="G51" s="143">
        <v>102562.80807</v>
      </c>
      <c r="H51" s="143">
        <v>226375.84711999999</v>
      </c>
      <c r="I51" s="143">
        <v>6318.5146561004776</v>
      </c>
      <c r="J51" s="143">
        <v>49061.002469999999</v>
      </c>
      <c r="L51" s="2">
        <v>105645.56504999999</v>
      </c>
      <c r="M51" s="2">
        <v>2097.68156</v>
      </c>
    </row>
    <row r="52" spans="1:13" x14ac:dyDescent="0.2">
      <c r="A52" s="144" t="s">
        <v>108</v>
      </c>
      <c r="B52" s="147">
        <v>12</v>
      </c>
      <c r="C52" s="143">
        <v>111561.12631923445</v>
      </c>
      <c r="D52" s="143">
        <v>1660.5791213753735</v>
      </c>
      <c r="E52" s="143">
        <v>3521.1601386246252</v>
      </c>
      <c r="F52" s="143">
        <v>13403.01981</v>
      </c>
      <c r="G52" s="143">
        <v>124399.66617</v>
      </c>
      <c r="H52" s="143">
        <v>247392.75559000002</v>
      </c>
      <c r="I52" s="143">
        <v>7096.7637607655497</v>
      </c>
      <c r="J52" s="143">
        <v>65289.019869999996</v>
      </c>
      <c r="L52" s="2">
        <v>118657.89008</v>
      </c>
      <c r="M52" s="2">
        <v>5181.7392599999994</v>
      </c>
    </row>
    <row r="53" spans="1:13" x14ac:dyDescent="0.2">
      <c r="L53" s="2">
        <f>C40/L40</f>
        <v>0.94019138755980858</v>
      </c>
      <c r="M53" s="2">
        <f>E40/M40</f>
        <v>0.67953248165262292</v>
      </c>
    </row>
  </sheetData>
  <printOptions horizontalCentered="1"/>
  <pageMargins left="0" right="0" top="0" bottom="0" header="0" footer="0"/>
  <pageSetup paperSize="9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RUD CV 2016</vt:lpstr>
      <vt:lpstr>Zdroj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2016-02-08T16:26:18Z</dcterms:created>
  <dcterms:modified xsi:type="dcterms:W3CDTF">2017-07-14T04:49:32Z</dcterms:modified>
</cp:coreProperties>
</file>