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440" windowHeight="12435"/>
  </bookViews>
  <sheets>
    <sheet name="RUD CV 2016" sheetId="2" r:id="rId1"/>
    <sheet name="Zdroj" sheetId="1" state="hidden" r:id="rId2"/>
  </sheets>
  <definedNames>
    <definedName name="Print_Titles" localSheetId="1">Zdroj!#REF!</definedName>
  </definedNames>
  <calcPr calcId="152511"/>
</workbook>
</file>

<file path=xl/calcChain.xml><?xml version="1.0" encoding="utf-8"?>
<calcChain xmlns="http://schemas.openxmlformats.org/spreadsheetml/2006/main">
  <c r="M23" i="2" l="1"/>
  <c r="D24" i="2" l="1"/>
  <c r="D20" i="2"/>
  <c r="D23" i="2"/>
  <c r="G24" i="2" l="1"/>
  <c r="K28" i="2"/>
  <c r="J28" i="2"/>
  <c r="I28" i="2"/>
  <c r="H28" i="2"/>
  <c r="G28" i="2"/>
  <c r="F28" i="2"/>
  <c r="E28" i="2"/>
  <c r="D28" i="2"/>
  <c r="G26" i="2" l="1"/>
  <c r="G27" i="2" s="1"/>
  <c r="H26" i="2"/>
  <c r="H27" i="2" s="1"/>
  <c r="I26" i="2"/>
  <c r="I27" i="2" s="1"/>
  <c r="K26" i="2"/>
  <c r="K27" i="2" s="1"/>
  <c r="W12" i="2" l="1"/>
  <c r="W11" i="2"/>
  <c r="W9" i="2"/>
  <c r="W8" i="2"/>
  <c r="K22" i="2"/>
  <c r="K24" i="2" s="1"/>
  <c r="H22" i="2"/>
  <c r="H24" i="2" s="1"/>
  <c r="I22" i="2"/>
  <c r="I24" i="2" s="1"/>
  <c r="D35" i="2"/>
  <c r="H29" i="2"/>
  <c r="K29" i="2"/>
  <c r="I29" i="2"/>
  <c r="G29" i="2"/>
  <c r="K20" i="2"/>
  <c r="K30" i="2" s="1"/>
  <c r="J20" i="2"/>
  <c r="I20" i="2"/>
  <c r="I30" i="2" s="1"/>
  <c r="H20" i="2"/>
  <c r="H30" i="2" s="1"/>
  <c r="G20" i="2"/>
  <c r="G30" i="2" s="1"/>
  <c r="F20" i="2"/>
  <c r="E20" i="2"/>
  <c r="L19" i="2"/>
  <c r="L18" i="2"/>
  <c r="L17" i="2"/>
  <c r="L16" i="2"/>
  <c r="L15" i="2"/>
  <c r="L14" i="2"/>
  <c r="L13" i="2"/>
  <c r="L12" i="2"/>
  <c r="L11" i="2"/>
  <c r="L10" i="2"/>
  <c r="L9" i="2"/>
  <c r="L8" i="2"/>
  <c r="K36" i="2" l="1"/>
  <c r="X8" i="2"/>
  <c r="D26" i="2"/>
  <c r="D27" i="2" s="1"/>
  <c r="X9" i="2"/>
  <c r="J21" i="2" s="1"/>
  <c r="J22" i="2" s="1"/>
  <c r="J30" i="2"/>
  <c r="J26" i="2"/>
  <c r="J27" i="2" s="1"/>
  <c r="X11" i="2"/>
  <c r="E21" i="2" s="1"/>
  <c r="E22" i="2" s="1"/>
  <c r="E30" i="2"/>
  <c r="E26" i="2"/>
  <c r="E27" i="2" s="1"/>
  <c r="X12" i="2"/>
  <c r="F21" i="2" s="1"/>
  <c r="F22" i="2" s="1"/>
  <c r="F24" i="2" s="1"/>
  <c r="F26" i="2"/>
  <c r="F27" i="2" s="1"/>
  <c r="D21" i="2"/>
  <c r="K23" i="2"/>
  <c r="G23" i="2"/>
  <c r="I23" i="2"/>
  <c r="L36" i="2"/>
  <c r="H23" i="2"/>
  <c r="L20" i="2"/>
  <c r="G25" i="2"/>
  <c r="K25" i="2"/>
  <c r="H25" i="2"/>
  <c r="I25" i="2"/>
  <c r="E24" i="2" l="1"/>
  <c r="E25" i="2" s="1"/>
  <c r="J24" i="2"/>
  <c r="J25" i="2" s="1"/>
  <c r="D22" i="2"/>
  <c r="K33" i="2"/>
  <c r="D30" i="2"/>
  <c r="K37" i="2"/>
  <c r="X10" i="2"/>
  <c r="F29" i="2"/>
  <c r="F30" i="2"/>
  <c r="J23" i="2"/>
  <c r="J29" i="2"/>
  <c r="L33" i="2"/>
  <c r="L21" i="2"/>
  <c r="L28" i="2"/>
  <c r="D29" i="2"/>
  <c r="L26" i="2"/>
  <c r="L27" i="2" s="1"/>
  <c r="X13" i="2"/>
  <c r="E29" i="2"/>
  <c r="E23" i="2"/>
  <c r="L34" i="2"/>
  <c r="F23" i="2"/>
  <c r="K34" i="2" l="1"/>
  <c r="L30" i="2"/>
  <c r="L29" i="2"/>
  <c r="L35" i="2"/>
  <c r="K35" i="2"/>
  <c r="L24" i="2"/>
  <c r="L22" i="2"/>
  <c r="L23" i="2" s="1"/>
  <c r="N23" i="2" s="1"/>
  <c r="F25" i="2"/>
  <c r="D25" i="2"/>
  <c r="L25" i="2" l="1"/>
</calcChain>
</file>

<file path=xl/sharedStrings.xml><?xml version="1.0" encoding="utf-8"?>
<sst xmlns="http://schemas.openxmlformats.org/spreadsheetml/2006/main" count="149" uniqueCount="117">
  <si>
    <t>Pol</t>
  </si>
  <si>
    <t>Zkratka položky</t>
  </si>
  <si>
    <t>1111</t>
  </si>
  <si>
    <t>Daň z příjmů FO závislá čin. a požitky</t>
  </si>
  <si>
    <t>1112</t>
  </si>
  <si>
    <t>Daň z příjmů OSVČ</t>
  </si>
  <si>
    <t>DPH</t>
  </si>
  <si>
    <t>Upravený rozpočet</t>
  </si>
  <si>
    <t>Příjmy tř. 1</t>
  </si>
  <si>
    <t>karta PPR</t>
  </si>
  <si>
    <t>103/123</t>
  </si>
  <si>
    <t>103/126</t>
  </si>
  <si>
    <t>103/125</t>
  </si>
  <si>
    <t>103/12</t>
  </si>
  <si>
    <t>103/14</t>
  </si>
  <si>
    <t>103/13</t>
  </si>
  <si>
    <t>103/124</t>
  </si>
  <si>
    <t>103/16</t>
  </si>
  <si>
    <t>v tis. Kč/položka</t>
  </si>
  <si>
    <t>pol. 1111</t>
  </si>
  <si>
    <t>pol. 1112</t>
  </si>
  <si>
    <t>pol. 1113</t>
  </si>
  <si>
    <t>pol. 1121</t>
  </si>
  <si>
    <t>pol. 1211</t>
  </si>
  <si>
    <t>pol. 1511</t>
  </si>
  <si>
    <t>číslo řádku</t>
  </si>
  <si>
    <t>ř. 1a</t>
  </si>
  <si>
    <t>ř. 3</t>
  </si>
  <si>
    <t>ř. 2</t>
  </si>
  <si>
    <t>ř. 4</t>
  </si>
  <si>
    <t>ř. 6</t>
  </si>
  <si>
    <t>ř. 5</t>
  </si>
  <si>
    <t>ř. 1 b</t>
  </si>
  <si>
    <t>ř. 20</t>
  </si>
  <si>
    <t>Měsíc</t>
  </si>
  <si>
    <t>DP FO ZČ</t>
  </si>
  <si>
    <t>DPFO</t>
  </si>
  <si>
    <t>DPFO - 30%</t>
  </si>
  <si>
    <t>DPFO-srážka</t>
  </si>
  <si>
    <t>DPPO</t>
  </si>
  <si>
    <t>DPFO 1,5%</t>
  </si>
  <si>
    <t>Daň z nemovitosti</t>
  </si>
  <si>
    <t>Celkem</t>
  </si>
  <si>
    <t>Leden</t>
  </si>
  <si>
    <t>Únor</t>
  </si>
  <si>
    <t>Březen</t>
  </si>
  <si>
    <t>Duben</t>
  </si>
  <si>
    <t>Květen</t>
  </si>
  <si>
    <t>Červen</t>
  </si>
  <si>
    <t>Červenec</t>
  </si>
  <si>
    <t xml:space="preserve">Srpen </t>
  </si>
  <si>
    <t>Září</t>
  </si>
  <si>
    <t>Říjen</t>
  </si>
  <si>
    <t>Listopad</t>
  </si>
  <si>
    <t>Prosinec</t>
  </si>
  <si>
    <t>SR 2015</t>
  </si>
  <si>
    <t>UR 2015</t>
  </si>
  <si>
    <t>% plnění</t>
  </si>
  <si>
    <t xml:space="preserve">Rozdíl SK-PL </t>
  </si>
  <si>
    <t>SK 2015 - SK 2014</t>
  </si>
  <si>
    <t>tis. Kč</t>
  </si>
  <si>
    <t>RM</t>
  </si>
  <si>
    <t>ZM</t>
  </si>
  <si>
    <t>Rozdíl = UR-SR</t>
  </si>
  <si>
    <t>CELKEM</t>
  </si>
  <si>
    <t xml:space="preserve">SK </t>
  </si>
  <si>
    <t>SK daní celkem</t>
  </si>
  <si>
    <t>Rekapitulace meziměsíční změny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</si>
  <si>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</si>
  <si>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</si>
  <si>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</si>
  <si>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</si>
  <si>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</si>
  <si>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</si>
  <si>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</si>
  <si>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</si>
  <si>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</si>
  <si>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 xml:space="preserve">říjen </t>
  </si>
  <si>
    <t>listopad</t>
  </si>
  <si>
    <t>prosinec</t>
  </si>
  <si>
    <t>Přehled o plnění vybraných daní v roce 2016</t>
  </si>
  <si>
    <t>SR 2016</t>
  </si>
  <si>
    <t>UR 2016</t>
  </si>
  <si>
    <t>Daňový příjem</t>
  </si>
  <si>
    <t>SR 2016 (mld.)</t>
  </si>
  <si>
    <t xml:space="preserve"> město (mil.)</t>
  </si>
  <si>
    <t>DPFO zč -1111</t>
  </si>
  <si>
    <t>Motivační DPFOzč.(1,5%)</t>
  </si>
  <si>
    <t>DPFO zč -1111 vč. motiv</t>
  </si>
  <si>
    <t>DPFO sč - 1112 - 23,58%</t>
  </si>
  <si>
    <t>DPFO sč - 1112 -30%</t>
  </si>
  <si>
    <t>DPFO sč - 1112</t>
  </si>
  <si>
    <t>DPFO vyb. srážkou 1113</t>
  </si>
  <si>
    <t>DPPO - 1121</t>
  </si>
  <si>
    <t>DPH - 1211</t>
  </si>
  <si>
    <r>
      <t xml:space="preserve">Poznámka: </t>
    </r>
    <r>
      <rPr>
        <b/>
        <sz val="9"/>
        <rFont val="Calibri"/>
        <family val="2"/>
        <charset val="238"/>
        <scheme val="minor"/>
      </rPr>
      <t>navýšení o</t>
    </r>
  </si>
  <si>
    <t>Stav ke dni:</t>
  </si>
  <si>
    <t>DPFO - srážka</t>
  </si>
  <si>
    <t>sdílené daně</t>
  </si>
  <si>
    <t>výlučné daně</t>
  </si>
  <si>
    <t>Meziroční změna                 2016-2015 v mil. Kč</t>
  </si>
  <si>
    <t>(pořadová čísla k tabulce "Příjmová část rozpočtu roku 2016 - MMCH)</t>
  </si>
  <si>
    <t>SK 01/2015</t>
  </si>
  <si>
    <t>SK 03/2015</t>
  </si>
  <si>
    <t>SK 02/2015</t>
  </si>
  <si>
    <t>SK 04/2015</t>
  </si>
  <si>
    <t>SK 05/2015</t>
  </si>
  <si>
    <t>SK 06/2015</t>
  </si>
  <si>
    <t>SK 07/2015</t>
  </si>
  <si>
    <t>SK 08/2015</t>
  </si>
  <si>
    <t>SK 09/2015</t>
  </si>
  <si>
    <t>SK 10/2015</t>
  </si>
  <si>
    <t>SK 11/2015</t>
  </si>
  <si>
    <t>SK 12/2015</t>
  </si>
  <si>
    <t>Plán k datu (PL) = x/12</t>
  </si>
  <si>
    <t>SK k 31.7.2016</t>
  </si>
  <si>
    <t>x/12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</si>
</sst>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\/yyyy"/>
    <numFmt numFmtId="165" formatCode="0.00_ ;[Red]\-0.00\ "/>
  </numFmts>
  <fonts count="24" x14ac:knownFonts="1">
    <font>
      <sz val="9.75"/>
      <name val="Times New Roman"/>
    </font>
    <font>
      <b/>
      <sz val="2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B0F0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10"/>
      <name val="Arial CE"/>
      <charset val="238"/>
    </font>
    <font>
      <sz val="9.75"/>
      <name val="Calibri"/>
      <family val="2"/>
      <charset val="238"/>
      <scheme val="minor"/>
    </font>
    <font>
      <sz val="9.75"/>
      <color theme="0"/>
      <name val="Calibri"/>
      <family val="2"/>
      <charset val="238"/>
      <scheme val="minor"/>
    </font>
    <font>
      <b/>
      <i/>
      <sz val="10"/>
      <color indexed="9"/>
      <name val="Calibri"/>
      <family val="2"/>
      <charset val="238"/>
      <scheme val="minor"/>
    </font>
    <font>
      <b/>
      <sz val="10"/>
      <color indexed="9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b/>
      <sz val="9.75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187">
    <xf numFmtId="0" fontId="0" fillId="0" borderId="0" xfId="0" applyProtection="1"/>
    <xf numFmtId="49" fontId="0" fillId="0" borderId="0" xfId="0" applyNumberFormat="1" applyAlignment="1" applyProtection="1">
      <alignment vertical="center"/>
    </xf>
    <xf numFmtId="4" fontId="0" fillId="0" borderId="0" xfId="0" applyNumberFormat="1" applyAlignment="1" applyProtection="1">
      <alignment vertical="center"/>
    </xf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Fill="1"/>
    <xf numFmtId="0" fontId="4" fillId="0" borderId="0" xfId="0" applyFont="1"/>
    <xf numFmtId="0" fontId="2" fillId="0" borderId="0" xfId="0" applyFont="1" applyFill="1"/>
    <xf numFmtId="0" fontId="5" fillId="0" borderId="0" xfId="0" applyFont="1" applyBorder="1"/>
    <xf numFmtId="0" fontId="2" fillId="0" borderId="0" xfId="0" applyFont="1" applyFill="1" applyBorder="1"/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 wrapText="1"/>
    </xf>
    <xf numFmtId="0" fontId="6" fillId="5" borderId="6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right"/>
    </xf>
    <xf numFmtId="4" fontId="2" fillId="0" borderId="12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4" fontId="2" fillId="0" borderId="13" xfId="0" applyNumberFormat="1" applyFont="1" applyBorder="1" applyAlignment="1">
      <alignment horizontal="right"/>
    </xf>
    <xf numFmtId="4" fontId="8" fillId="0" borderId="0" xfId="0" applyNumberFormat="1" applyFont="1" applyFill="1" applyBorder="1" applyAlignment="1">
      <alignment horizontal="right"/>
    </xf>
    <xf numFmtId="4" fontId="6" fillId="6" borderId="22" xfId="0" applyNumberFormat="1" applyFont="1" applyFill="1" applyBorder="1" applyAlignment="1">
      <alignment horizontal="right"/>
    </xf>
    <xf numFmtId="0" fontId="6" fillId="7" borderId="11" xfId="0" applyFont="1" applyFill="1" applyBorder="1" applyAlignment="1">
      <alignment horizontal="left" indent="1"/>
    </xf>
    <xf numFmtId="49" fontId="6" fillId="0" borderId="0" xfId="0" applyNumberFormat="1" applyFont="1" applyFill="1" applyBorder="1" applyAlignment="1">
      <alignment horizontal="right"/>
    </xf>
    <xf numFmtId="0" fontId="6" fillId="0" borderId="11" xfId="0" applyFont="1" applyBorder="1" applyAlignment="1">
      <alignment horizontal="left" indent="1"/>
    </xf>
    <xf numFmtId="10" fontId="2" fillId="0" borderId="0" xfId="0" applyNumberFormat="1" applyFont="1" applyFill="1" applyBorder="1" applyAlignment="1">
      <alignment horizontal="right"/>
    </xf>
    <xf numFmtId="0" fontId="6" fillId="6" borderId="22" xfId="0" applyFont="1" applyFill="1" applyBorder="1" applyAlignment="1">
      <alignment horizontal="left" indent="1"/>
    </xf>
    <xf numFmtId="4" fontId="6" fillId="6" borderId="23" xfId="0" applyNumberFormat="1" applyFont="1" applyFill="1" applyBorder="1" applyAlignment="1">
      <alignment horizontal="right"/>
    </xf>
    <xf numFmtId="4" fontId="6" fillId="6" borderId="2" xfId="0" applyNumberFormat="1" applyFont="1" applyFill="1" applyBorder="1" applyAlignment="1">
      <alignment horizontal="right"/>
    </xf>
    <xf numFmtId="4" fontId="6" fillId="6" borderId="24" xfId="0" applyNumberFormat="1" applyFont="1" applyFill="1" applyBorder="1" applyAlignment="1">
      <alignment horizontal="right"/>
    </xf>
    <xf numFmtId="0" fontId="6" fillId="0" borderId="29" xfId="0" applyFont="1" applyBorder="1" applyAlignment="1">
      <alignment horizontal="left" indent="1"/>
    </xf>
    <xf numFmtId="4" fontId="2" fillId="8" borderId="30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31" xfId="0" applyNumberFormat="1" applyFont="1" applyFill="1" applyBorder="1" applyAlignment="1">
      <alignment horizontal="right"/>
    </xf>
    <xf numFmtId="4" fontId="2" fillId="8" borderId="32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4" fontId="9" fillId="0" borderId="0" xfId="0" applyNumberFormat="1" applyFont="1"/>
    <xf numFmtId="0" fontId="9" fillId="0" borderId="0" xfId="0" applyFont="1"/>
    <xf numFmtId="4" fontId="9" fillId="0" borderId="0" xfId="0" applyNumberFormat="1" applyFont="1" applyFill="1" applyBorder="1"/>
    <xf numFmtId="0" fontId="9" fillId="0" borderId="27" xfId="0" applyFont="1" applyBorder="1" applyAlignment="1">
      <alignment horizontal="center"/>
    </xf>
    <xf numFmtId="0" fontId="11" fillId="0" borderId="39" xfId="0" applyFont="1" applyBorder="1"/>
    <xf numFmtId="0" fontId="9" fillId="0" borderId="31" xfId="0" applyFont="1" applyBorder="1" applyAlignment="1">
      <alignment horizontal="center"/>
    </xf>
    <xf numFmtId="0" fontId="12" fillId="0" borderId="40" xfId="0" applyFont="1" applyBorder="1"/>
    <xf numFmtId="0" fontId="10" fillId="0" borderId="35" xfId="0" applyFont="1" applyBorder="1" applyAlignment="1">
      <alignment horizontal="center"/>
    </xf>
    <xf numFmtId="0" fontId="9" fillId="0" borderId="0" xfId="0" applyFont="1" applyFill="1"/>
    <xf numFmtId="10" fontId="2" fillId="0" borderId="0" xfId="0" applyNumberFormat="1" applyFont="1"/>
    <xf numFmtId="10" fontId="2" fillId="0" borderId="12" xfId="0" applyNumberFormat="1" applyFont="1" applyBorder="1" applyAlignment="1">
      <alignment horizontal="right"/>
    </xf>
    <xf numFmtId="4" fontId="2" fillId="6" borderId="16" xfId="0" applyNumberFormat="1" applyFont="1" applyFill="1" applyBorder="1" applyAlignment="1">
      <alignment horizontal="right"/>
    </xf>
    <xf numFmtId="0" fontId="6" fillId="6" borderId="33" xfId="0" applyFont="1" applyFill="1" applyBorder="1" applyAlignment="1">
      <alignment horizontal="left" indent="1"/>
    </xf>
    <xf numFmtId="4" fontId="6" fillId="6" borderId="46" xfId="0" applyNumberFormat="1" applyFont="1" applyFill="1" applyBorder="1" applyAlignment="1">
      <alignment horizontal="right"/>
    </xf>
    <xf numFmtId="4" fontId="2" fillId="6" borderId="34" xfId="0" applyNumberFormat="1" applyFont="1" applyFill="1" applyBorder="1" applyAlignment="1">
      <alignment horizontal="right"/>
    </xf>
    <xf numFmtId="4" fontId="2" fillId="6" borderId="35" xfId="0" applyNumberFormat="1" applyFont="1" applyFill="1" applyBorder="1" applyAlignment="1">
      <alignment horizontal="right"/>
    </xf>
    <xf numFmtId="0" fontId="3" fillId="7" borderId="3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0" fontId="6" fillId="7" borderId="7" xfId="0" applyFont="1" applyFill="1" applyBorder="1" applyAlignment="1">
      <alignment horizontal="left" indent="1"/>
    </xf>
    <xf numFmtId="0" fontId="6" fillId="7" borderId="14" xfId="0" applyFont="1" applyFill="1" applyBorder="1" applyAlignment="1">
      <alignment horizontal="left" indent="1"/>
    </xf>
    <xf numFmtId="4" fontId="6" fillId="7" borderId="11" xfId="0" applyNumberFormat="1" applyFont="1" applyFill="1" applyBorder="1" applyAlignment="1">
      <alignment horizontal="right"/>
    </xf>
    <xf numFmtId="0" fontId="6" fillId="4" borderId="18" xfId="0" applyFont="1" applyFill="1" applyBorder="1" applyAlignment="1">
      <alignment horizontal="left" indent="1"/>
    </xf>
    <xf numFmtId="4" fontId="6" fillId="4" borderId="19" xfId="0" applyNumberFormat="1" applyFont="1" applyFill="1" applyBorder="1" applyAlignment="1">
      <alignment horizontal="right"/>
    </xf>
    <xf numFmtId="4" fontId="6" fillId="4" borderId="20" xfId="0" applyNumberFormat="1" applyFont="1" applyFill="1" applyBorder="1" applyAlignment="1">
      <alignment horizontal="right"/>
    </xf>
    <xf numFmtId="4" fontId="6" fillId="4" borderId="21" xfId="0" applyNumberFormat="1" applyFont="1" applyFill="1" applyBorder="1" applyAlignment="1">
      <alignment horizontal="right"/>
    </xf>
    <xf numFmtId="4" fontId="6" fillId="4" borderId="18" xfId="0" applyNumberFormat="1" applyFont="1" applyFill="1" applyBorder="1" applyAlignment="1">
      <alignment horizontal="right"/>
    </xf>
    <xf numFmtId="0" fontId="6" fillId="0" borderId="11" xfId="0" applyFont="1" applyFill="1" applyBorder="1" applyAlignment="1">
      <alignment horizontal="left" indent="1"/>
    </xf>
    <xf numFmtId="4" fontId="2" fillId="0" borderId="1" xfId="0" applyNumberFormat="1" applyFont="1" applyFill="1" applyBorder="1" applyAlignment="1">
      <alignment horizontal="right"/>
    </xf>
    <xf numFmtId="4" fontId="2" fillId="0" borderId="13" xfId="0" applyNumberFormat="1" applyFont="1" applyFill="1" applyBorder="1" applyAlignment="1">
      <alignment horizontal="right"/>
    </xf>
    <xf numFmtId="4" fontId="6" fillId="7" borderId="22" xfId="0" applyNumberFormat="1" applyFont="1" applyFill="1" applyBorder="1" applyAlignment="1">
      <alignment horizontal="right"/>
    </xf>
    <xf numFmtId="4" fontId="2" fillId="0" borderId="12" xfId="0" applyNumberFormat="1" applyFont="1" applyFill="1" applyBorder="1" applyAlignment="1">
      <alignment horizontal="right"/>
    </xf>
    <xf numFmtId="0" fontId="2" fillId="13" borderId="2" xfId="0" applyFont="1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/>
    <xf numFmtId="0" fontId="14" fillId="0" borderId="0" xfId="0" applyFont="1"/>
    <xf numFmtId="0" fontId="14" fillId="0" borderId="0" xfId="0" applyFont="1" applyProtection="1"/>
    <xf numFmtId="0" fontId="15" fillId="0" borderId="0" xfId="0" applyFont="1" applyProtection="1"/>
    <xf numFmtId="10" fontId="14" fillId="0" borderId="0" xfId="0" applyNumberFormat="1" applyFont="1" applyProtection="1"/>
    <xf numFmtId="0" fontId="16" fillId="10" borderId="41" xfId="1" applyFont="1" applyFill="1" applyBorder="1"/>
    <xf numFmtId="0" fontId="16" fillId="10" borderId="3" xfId="1" applyFont="1" applyFill="1" applyBorder="1" applyAlignment="1">
      <alignment horizontal="center"/>
    </xf>
    <xf numFmtId="0" fontId="2" fillId="0" borderId="0" xfId="1" applyFont="1" applyBorder="1"/>
    <xf numFmtId="4" fontId="2" fillId="0" borderId="42" xfId="1" applyNumberFormat="1" applyFont="1" applyBorder="1"/>
    <xf numFmtId="4" fontId="2" fillId="0" borderId="43" xfId="1" applyNumberFormat="1" applyFont="1" applyFill="1" applyBorder="1"/>
    <xf numFmtId="0" fontId="2" fillId="11" borderId="0" xfId="1" applyFont="1" applyFill="1" applyBorder="1"/>
    <xf numFmtId="4" fontId="2" fillId="11" borderId="44" xfId="1" applyNumberFormat="1" applyFont="1" applyFill="1" applyBorder="1"/>
    <xf numFmtId="4" fontId="2" fillId="11" borderId="43" xfId="1" applyNumberFormat="1" applyFont="1" applyFill="1" applyBorder="1"/>
    <xf numFmtId="0" fontId="6" fillId="0" borderId="0" xfId="1" applyFont="1" applyBorder="1"/>
    <xf numFmtId="4" fontId="6" fillId="0" borderId="44" xfId="1" applyNumberFormat="1" applyFont="1" applyBorder="1"/>
    <xf numFmtId="4" fontId="6" fillId="0" borderId="43" xfId="1" applyNumberFormat="1" applyFont="1" applyFill="1" applyBorder="1"/>
    <xf numFmtId="4" fontId="2" fillId="0" borderId="44" xfId="1" applyNumberFormat="1" applyFont="1" applyBorder="1"/>
    <xf numFmtId="0" fontId="6" fillId="11" borderId="0" xfId="1" applyFont="1" applyFill="1" applyBorder="1"/>
    <xf numFmtId="4" fontId="6" fillId="11" borderId="44" xfId="1" applyNumberFormat="1" applyFont="1" applyFill="1" applyBorder="1"/>
    <xf numFmtId="4" fontId="6" fillId="11" borderId="43" xfId="1" applyNumberFormat="1" applyFont="1" applyFill="1" applyBorder="1"/>
    <xf numFmtId="4" fontId="6" fillId="0" borderId="45" xfId="1" applyNumberFormat="1" applyFont="1" applyBorder="1"/>
    <xf numFmtId="0" fontId="15" fillId="0" borderId="0" xfId="0" applyFont="1" applyAlignment="1" applyProtection="1">
      <alignment vertical="center" wrapText="1"/>
    </xf>
    <xf numFmtId="4" fontId="17" fillId="10" borderId="41" xfId="1" applyNumberFormat="1" applyFont="1" applyFill="1" applyBorder="1"/>
    <xf numFmtId="4" fontId="17" fillId="10" borderId="3" xfId="1" applyNumberFormat="1" applyFont="1" applyFill="1" applyBorder="1"/>
    <xf numFmtId="0" fontId="14" fillId="0" borderId="0" xfId="0" applyFont="1" applyAlignment="1">
      <alignment vertical="center" wrapText="1"/>
    </xf>
    <xf numFmtId="0" fontId="9" fillId="0" borderId="38" xfId="0" applyFont="1" applyBorder="1" applyAlignment="1">
      <alignment horizontal="left" indent="1"/>
    </xf>
    <xf numFmtId="0" fontId="9" fillId="0" borderId="1" xfId="0" applyFont="1" applyBorder="1" applyAlignment="1">
      <alignment horizontal="center"/>
    </xf>
    <xf numFmtId="4" fontId="9" fillId="0" borderId="26" xfId="0" applyNumberFormat="1" applyFont="1" applyBorder="1"/>
    <xf numFmtId="0" fontId="9" fillId="0" borderId="9" xfId="0" applyFont="1" applyBorder="1" applyAlignment="1">
      <alignment horizontal="center"/>
    </xf>
    <xf numFmtId="4" fontId="9" fillId="0" borderId="30" xfId="0" applyNumberFormat="1" applyFont="1" applyBorder="1"/>
    <xf numFmtId="4" fontId="10" fillId="0" borderId="34" xfId="0" applyNumberFormat="1" applyFont="1" applyBorder="1"/>
    <xf numFmtId="0" fontId="10" fillId="0" borderId="16" xfId="0" applyFont="1" applyBorder="1" applyAlignment="1">
      <alignment horizontal="center"/>
    </xf>
    <xf numFmtId="0" fontId="10" fillId="0" borderId="25" xfId="0" applyFont="1" applyBorder="1" applyAlignment="1">
      <alignment horizontal="left" indent="1"/>
    </xf>
    <xf numFmtId="0" fontId="10" fillId="0" borderId="29" xfId="0" applyFont="1" applyBorder="1" applyAlignment="1">
      <alignment horizontal="left" indent="1"/>
    </xf>
    <xf numFmtId="0" fontId="9" fillId="0" borderId="29" xfId="0" applyFont="1" applyBorder="1" applyAlignment="1">
      <alignment horizontal="left" wrapText="1" indent="1"/>
    </xf>
    <xf numFmtId="0" fontId="9" fillId="0" borderId="50" xfId="0" applyFont="1" applyBorder="1" applyAlignment="1">
      <alignment horizontal="left" indent="1"/>
    </xf>
    <xf numFmtId="0" fontId="18" fillId="14" borderId="40" xfId="0" applyFont="1" applyFill="1" applyBorder="1" applyAlignment="1">
      <alignment horizontal="left" indent="1"/>
    </xf>
    <xf numFmtId="4" fontId="18" fillId="14" borderId="36" xfId="0" applyNumberFormat="1" applyFont="1" applyFill="1" applyBorder="1" applyAlignment="1">
      <alignment horizontal="right"/>
    </xf>
    <xf numFmtId="4" fontId="18" fillId="14" borderId="37" xfId="0" applyNumberFormat="1" applyFont="1" applyFill="1" applyBorder="1" applyAlignment="1">
      <alignment horizontal="right"/>
    </xf>
    <xf numFmtId="4" fontId="18" fillId="14" borderId="45" xfId="0" applyNumberFormat="1" applyFont="1" applyFill="1" applyBorder="1" applyAlignment="1">
      <alignment horizontal="right"/>
    </xf>
    <xf numFmtId="4" fontId="18" fillId="14" borderId="47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7" borderId="51" xfId="0" applyFont="1" applyFill="1" applyBorder="1" applyAlignment="1">
      <alignment horizontal="center" wrapText="1"/>
    </xf>
    <xf numFmtId="0" fontId="6" fillId="4" borderId="29" xfId="0" applyFont="1" applyFill="1" applyBorder="1" applyAlignment="1">
      <alignment horizontal="left" indent="1"/>
    </xf>
    <xf numFmtId="4" fontId="6" fillId="4" borderId="30" xfId="0" applyNumberFormat="1" applyFont="1" applyFill="1" applyBorder="1" applyAlignment="1">
      <alignment horizontal="right"/>
    </xf>
    <xf numFmtId="4" fontId="6" fillId="4" borderId="1" xfId="0" applyNumberFormat="1" applyFont="1" applyFill="1" applyBorder="1" applyAlignment="1">
      <alignment horizontal="right"/>
    </xf>
    <xf numFmtId="4" fontId="6" fillId="4" borderId="31" xfId="0" applyNumberFormat="1" applyFont="1" applyFill="1" applyBorder="1" applyAlignment="1">
      <alignment horizontal="right"/>
    </xf>
    <xf numFmtId="4" fontId="6" fillId="4" borderId="32" xfId="0" applyNumberFormat="1" applyFont="1" applyFill="1" applyBorder="1" applyAlignment="1">
      <alignment horizontal="right"/>
    </xf>
    <xf numFmtId="0" fontId="6" fillId="7" borderId="25" xfId="0" applyFont="1" applyFill="1" applyBorder="1" applyAlignment="1">
      <alignment horizontal="left" indent="1"/>
    </xf>
    <xf numFmtId="4" fontId="6" fillId="7" borderId="26" xfId="0" applyNumberFormat="1" applyFont="1" applyFill="1" applyBorder="1" applyAlignment="1">
      <alignment horizontal="right"/>
    </xf>
    <xf numFmtId="4" fontId="6" fillId="7" borderId="9" xfId="0" applyNumberFormat="1" applyFont="1" applyFill="1" applyBorder="1" applyAlignment="1">
      <alignment horizontal="right"/>
    </xf>
    <xf numFmtId="4" fontId="6" fillId="7" borderId="27" xfId="0" applyNumberFormat="1" applyFont="1" applyFill="1" applyBorder="1" applyAlignment="1">
      <alignment horizontal="right"/>
    </xf>
    <xf numFmtId="4" fontId="6" fillId="7" borderId="28" xfId="0" applyNumberFormat="1" applyFont="1" applyFill="1" applyBorder="1" applyAlignment="1">
      <alignment horizontal="right"/>
    </xf>
    <xf numFmtId="4" fontId="6" fillId="7" borderId="12" xfId="0" applyNumberFormat="1" applyFont="1" applyFill="1" applyBorder="1" applyAlignment="1">
      <alignment horizontal="right"/>
    </xf>
    <xf numFmtId="4" fontId="6" fillId="7" borderId="1" xfId="0" applyNumberFormat="1" applyFont="1" applyFill="1" applyBorder="1" applyAlignment="1">
      <alignment horizontal="right"/>
    </xf>
    <xf numFmtId="4" fontId="6" fillId="7" borderId="13" xfId="0" applyNumberFormat="1" applyFont="1" applyFill="1" applyBorder="1" applyAlignment="1">
      <alignment horizontal="right"/>
    </xf>
    <xf numFmtId="4" fontId="2" fillId="0" borderId="22" xfId="0" applyNumberFormat="1" applyFont="1" applyFill="1" applyBorder="1" applyAlignment="1">
      <alignment horizontal="right"/>
    </xf>
    <xf numFmtId="4" fontId="6" fillId="7" borderId="14" xfId="0" applyNumberFormat="1" applyFont="1" applyFill="1" applyBorder="1" applyAlignment="1">
      <alignment horizontal="right"/>
    </xf>
    <xf numFmtId="4" fontId="2" fillId="0" borderId="15" xfId="0" applyNumberFormat="1" applyFon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4" fontId="2" fillId="0" borderId="17" xfId="0" applyNumberFormat="1" applyFont="1" applyBorder="1" applyAlignment="1">
      <alignment horizontal="right"/>
    </xf>
    <xf numFmtId="0" fontId="21" fillId="0" borderId="0" xfId="0" applyFont="1"/>
    <xf numFmtId="0" fontId="9" fillId="0" borderId="0" xfId="0" applyFont="1" applyFill="1" applyBorder="1"/>
    <xf numFmtId="4" fontId="6" fillId="0" borderId="22" xfId="0" applyNumberFormat="1" applyFont="1" applyFill="1" applyBorder="1" applyAlignment="1">
      <alignment horizontal="right"/>
    </xf>
    <xf numFmtId="165" fontId="6" fillId="0" borderId="1" xfId="0" applyNumberFormat="1" applyFont="1" applyFill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4" fontId="14" fillId="0" borderId="0" xfId="0" applyNumberFormat="1" applyFont="1" applyProtection="1"/>
    <xf numFmtId="10" fontId="2" fillId="0" borderId="11" xfId="0" applyNumberFormat="1" applyFont="1" applyBorder="1" applyAlignment="1">
      <alignment horizontal="right"/>
    </xf>
    <xf numFmtId="49" fontId="14" fillId="0" borderId="0" xfId="0" applyNumberFormat="1" applyFont="1" applyAlignment="1" applyProtection="1">
      <alignment vertical="center"/>
    </xf>
    <xf numFmtId="49" fontId="20" fillId="2" borderId="0" xfId="0" applyNumberFormat="1" applyFont="1" applyFill="1" applyAlignment="1" applyProtection="1">
      <alignment horizontal="left" vertical="center" wrapText="1"/>
    </xf>
    <xf numFmtId="4" fontId="20" fillId="2" borderId="0" xfId="0" applyNumberFormat="1" applyFont="1" applyFill="1" applyAlignment="1" applyProtection="1">
      <alignment horizontal="left" vertical="center" wrapText="1"/>
    </xf>
    <xf numFmtId="4" fontId="14" fillId="0" borderId="0" xfId="0" applyNumberFormat="1" applyFont="1" applyAlignment="1" applyProtection="1">
      <alignment vertical="center"/>
    </xf>
    <xf numFmtId="164" fontId="20" fillId="2" borderId="0" xfId="0" applyNumberFormat="1" applyFont="1" applyFill="1" applyAlignment="1" applyProtection="1">
      <alignment horizontal="left" vertical="center" wrapText="1" indent="1"/>
    </xf>
    <xf numFmtId="0" fontId="14" fillId="0" borderId="0" xfId="0" applyNumberFormat="1" applyFont="1" applyAlignment="1" applyProtection="1">
      <alignment vertical="center"/>
    </xf>
    <xf numFmtId="0" fontId="20" fillId="2" borderId="0" xfId="0" applyNumberFormat="1" applyFont="1" applyFill="1" applyAlignment="1" applyProtection="1">
      <alignment horizontal="left" vertical="center" wrapText="1"/>
    </xf>
    <xf numFmtId="0" fontId="20" fillId="2" borderId="0" xfId="0" applyNumberFormat="1" applyFont="1" applyFill="1" applyAlignment="1" applyProtection="1">
      <alignment horizontal="left" vertical="center" wrapText="1" indent="1"/>
    </xf>
    <xf numFmtId="0" fontId="0" fillId="0" borderId="0" xfId="0" applyNumberFormat="1" applyAlignment="1" applyProtection="1">
      <alignment vertical="center"/>
    </xf>
    <xf numFmtId="0" fontId="10" fillId="9" borderId="3" xfId="0" applyFont="1" applyFill="1" applyBorder="1" applyAlignment="1">
      <alignment horizontal="left" vertical="center" wrapText="1" indent="1"/>
    </xf>
    <xf numFmtId="4" fontId="2" fillId="0" borderId="8" xfId="0" applyNumberFormat="1" applyFont="1" applyBorder="1" applyAlignment="1">
      <alignment horizontal="right"/>
    </xf>
    <xf numFmtId="4" fontId="2" fillId="0" borderId="9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" fontId="6" fillId="7" borderId="7" xfId="0" applyNumberFormat="1" applyFont="1" applyFill="1" applyBorder="1" applyAlignment="1">
      <alignment horizontal="right"/>
    </xf>
    <xf numFmtId="4" fontId="19" fillId="0" borderId="12" xfId="0" applyNumberFormat="1" applyFont="1" applyBorder="1" applyAlignment="1">
      <alignment horizontal="right"/>
    </xf>
    <xf numFmtId="4" fontId="19" fillId="0" borderId="1" xfId="0" applyNumberFormat="1" applyFont="1" applyBorder="1" applyAlignment="1">
      <alignment horizontal="right"/>
    </xf>
    <xf numFmtId="4" fontId="19" fillId="0" borderId="13" xfId="0" applyNumberFormat="1" applyFont="1" applyBorder="1" applyAlignment="1">
      <alignment horizontal="right"/>
    </xf>
    <xf numFmtId="4" fontId="22" fillId="0" borderId="12" xfId="0" applyNumberFormat="1" applyFont="1" applyBorder="1" applyAlignment="1">
      <alignment horizontal="right"/>
    </xf>
    <xf numFmtId="4" fontId="22" fillId="0" borderId="1" xfId="0" applyNumberFormat="1" applyFont="1" applyBorder="1" applyAlignment="1">
      <alignment horizontal="right"/>
    </xf>
    <xf numFmtId="4" fontId="22" fillId="0" borderId="13" xfId="0" applyNumberFormat="1" applyFont="1" applyBorder="1" applyAlignment="1">
      <alignment horizontal="right"/>
    </xf>
    <xf numFmtId="4" fontId="23" fillId="7" borderId="11" xfId="0" applyNumberFormat="1" applyFont="1" applyFill="1" applyBorder="1" applyAlignment="1">
      <alignment horizontal="right"/>
    </xf>
    <xf numFmtId="4" fontId="6" fillId="13" borderId="48" xfId="0" applyNumberFormat="1" applyFont="1" applyFill="1" applyBorder="1" applyAlignment="1">
      <alignment horizontal="right"/>
    </xf>
    <xf numFmtId="4" fontId="9" fillId="13" borderId="25" xfId="0" applyNumberFormat="1" applyFont="1" applyFill="1" applyBorder="1"/>
    <xf numFmtId="4" fontId="9" fillId="13" borderId="29" xfId="0" applyNumberFormat="1" applyFont="1" applyFill="1" applyBorder="1"/>
    <xf numFmtId="4" fontId="9" fillId="13" borderId="33" xfId="0" applyNumberFormat="1" applyFont="1" applyFill="1" applyBorder="1"/>
    <xf numFmtId="4" fontId="6" fillId="12" borderId="3" xfId="0" applyNumberFormat="1" applyFont="1" applyFill="1" applyBorder="1" applyAlignment="1">
      <alignment horizontal="right"/>
    </xf>
    <xf numFmtId="4" fontId="9" fillId="12" borderId="7" xfId="0" applyNumberFormat="1" applyFont="1" applyFill="1" applyBorder="1"/>
    <xf numFmtId="4" fontId="9" fillId="12" borderId="11" xfId="0" applyNumberFormat="1" applyFont="1" applyFill="1" applyBorder="1"/>
    <xf numFmtId="4" fontId="9" fillId="12" borderId="14" xfId="0" applyNumberFormat="1" applyFont="1" applyFill="1" applyBorder="1"/>
    <xf numFmtId="4" fontId="3" fillId="9" borderId="48" xfId="0" applyNumberFormat="1" applyFont="1" applyFill="1" applyBorder="1" applyAlignment="1">
      <alignment horizontal="center" vertical="center"/>
    </xf>
    <xf numFmtId="4" fontId="3" fillId="9" borderId="49" xfId="0" applyNumberFormat="1" applyFont="1" applyFill="1" applyBorder="1" applyAlignment="1">
      <alignment horizontal="center" vertical="center"/>
    </xf>
    <xf numFmtId="0" fontId="20" fillId="0" borderId="52" xfId="0" applyFont="1" applyBorder="1" applyAlignment="1" applyProtection="1">
      <alignment horizontal="center" vertical="center" textRotation="90"/>
    </xf>
    <xf numFmtId="0" fontId="20" fillId="0" borderId="43" xfId="0" applyFont="1" applyBorder="1" applyAlignment="1" applyProtection="1">
      <alignment horizontal="center" vertical="center" textRotation="90"/>
    </xf>
    <xf numFmtId="0" fontId="20" fillId="0" borderId="53" xfId="0" applyFont="1" applyBorder="1" applyAlignment="1" applyProtection="1">
      <alignment horizontal="center" vertical="center" textRotation="90"/>
    </xf>
    <xf numFmtId="0" fontId="6" fillId="0" borderId="2" xfId="0" applyFont="1" applyFill="1" applyBorder="1" applyAlignment="1">
      <alignment horizontal="center" wrapText="1"/>
    </xf>
    <xf numFmtId="0" fontId="6" fillId="0" borderId="20" xfId="0" applyFont="1" applyFill="1" applyBorder="1" applyAlignment="1">
      <alignment horizontal="center" wrapText="1"/>
    </xf>
    <xf numFmtId="4" fontId="8" fillId="7" borderId="11" xfId="0" applyNumberFormat="1" applyFont="1" applyFill="1" applyBorder="1" applyAlignment="1">
      <alignment horizontal="right"/>
    </xf>
  </cellXfs>
  <cellStyles count="2">
    <cellStyle name="Normální" xfId="0" builtinId="0"/>
    <cellStyle name="normální_APRUD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12" dropStyle="combo" dx="16" fmlaLink="C28" fmlaRange="Zdroj!$A$7:$J$18" noThreeD="1" sel="8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9525</xdr:rowOff>
        </xdr:from>
        <xdr:to>
          <xdr:col>3</xdr:col>
          <xdr:colOff>0</xdr:colOff>
          <xdr:row>28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47"/>
  <sheetViews>
    <sheetView showGridLines="0" tabSelected="1" workbookViewId="0">
      <selection activeCell="H3" sqref="H3"/>
    </sheetView>
  </sheetViews>
  <sheetFormatPr defaultColWidth="0" defaultRowHeight="12.75" zeroHeight="1" x14ac:dyDescent="0.2"/>
  <cols>
    <col min="1" max="1" width="2.33203125" style="81" customWidth="1"/>
    <col min="2" max="2" width="3.6640625" style="81" customWidth="1"/>
    <col min="3" max="3" width="25.5" style="81" customWidth="1"/>
    <col min="4" max="12" width="16.33203125" style="81" customWidth="1"/>
    <col min="13" max="13" width="7.83203125" style="81" bestFit="1" customWidth="1"/>
    <col min="14" max="14" width="8.83203125" style="81" bestFit="1" customWidth="1"/>
    <col min="15" max="15" width="9.1640625" style="81" hidden="1" customWidth="1"/>
    <col min="16" max="17" width="0" style="81" hidden="1" customWidth="1"/>
    <col min="18" max="18" width="0" style="82" hidden="1" customWidth="1"/>
    <col min="19" max="19" width="0" style="81" hidden="1" customWidth="1"/>
    <col min="20" max="20" width="27" style="81" hidden="1" customWidth="1"/>
    <col min="21" max="21" width="0" style="81" hidden="1" customWidth="1"/>
    <col min="22" max="22" width="14.83203125" style="81" hidden="1" customWidth="1"/>
    <col min="23" max="23" width="0" style="83" hidden="1" customWidth="1"/>
    <col min="24" max="24" width="13.6640625" style="81" hidden="1" customWidth="1"/>
    <col min="25" max="35" width="0" style="81" hidden="1" customWidth="1"/>
    <col min="36" max="16384" width="9.33203125" style="81" hidden="1"/>
  </cols>
  <sheetData>
    <row r="1" spans="3:24" ht="26.25" x14ac:dyDescent="0.4">
      <c r="C1" s="3" t="s">
        <v>80</v>
      </c>
      <c r="D1" s="4"/>
      <c r="E1" s="4"/>
      <c r="F1" s="4"/>
      <c r="G1" s="4"/>
      <c r="H1" s="4"/>
      <c r="I1" s="5"/>
      <c r="J1" s="4"/>
      <c r="K1" s="4"/>
      <c r="L1" s="6" t="s">
        <v>8</v>
      </c>
      <c r="M1" s="7"/>
      <c r="N1" s="80"/>
      <c r="O1" s="80"/>
    </row>
    <row r="2" spans="3:24" ht="15.75" x14ac:dyDescent="0.25">
      <c r="C2" s="8" t="s">
        <v>101</v>
      </c>
      <c r="D2" s="4"/>
      <c r="E2" s="4"/>
      <c r="F2" s="4"/>
      <c r="G2" s="4"/>
      <c r="H2" s="4"/>
      <c r="I2" s="5"/>
      <c r="J2" s="4"/>
      <c r="K2" s="4"/>
      <c r="L2" s="4"/>
      <c r="M2" s="9"/>
      <c r="N2" s="80"/>
      <c r="O2" s="80"/>
    </row>
    <row r="3" spans="3:24" ht="15.75" x14ac:dyDescent="0.25">
      <c r="C3" s="8"/>
      <c r="D3" s="4"/>
      <c r="E3" s="4"/>
      <c r="F3" s="4"/>
      <c r="G3" s="4"/>
      <c r="H3" s="4"/>
      <c r="I3" s="5"/>
      <c r="J3" s="10"/>
      <c r="K3" s="5"/>
      <c r="L3" s="5"/>
      <c r="M3" s="11"/>
      <c r="N3" s="80"/>
      <c r="O3" s="80"/>
    </row>
    <row r="4" spans="3:24" ht="15.75" x14ac:dyDescent="0.25">
      <c r="C4" s="120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4" t="s">
        <v>14</v>
      </c>
      <c r="I4" s="14" t="s">
        <v>15</v>
      </c>
      <c r="J4" s="14" t="s">
        <v>16</v>
      </c>
      <c r="K4" s="14" t="s">
        <v>17</v>
      </c>
      <c r="L4" s="4"/>
      <c r="M4" s="9"/>
      <c r="N4" s="80"/>
      <c r="O4" s="80"/>
    </row>
    <row r="5" spans="3:24" x14ac:dyDescent="0.2">
      <c r="C5" s="14" t="s">
        <v>18</v>
      </c>
      <c r="D5" s="14" t="s">
        <v>19</v>
      </c>
      <c r="E5" s="14" t="s">
        <v>20</v>
      </c>
      <c r="F5" s="14" t="s">
        <v>20</v>
      </c>
      <c r="G5" s="78" t="s">
        <v>21</v>
      </c>
      <c r="H5" s="78" t="s">
        <v>22</v>
      </c>
      <c r="I5" s="78" t="s">
        <v>23</v>
      </c>
      <c r="J5" s="14" t="s">
        <v>19</v>
      </c>
      <c r="K5" s="14" t="s">
        <v>24</v>
      </c>
      <c r="L5" s="4"/>
      <c r="M5" s="9"/>
      <c r="N5" s="80"/>
      <c r="O5" s="80"/>
    </row>
    <row r="6" spans="3:24" ht="13.5" thickBot="1" x14ac:dyDescent="0.25">
      <c r="C6" s="121" t="s">
        <v>25</v>
      </c>
      <c r="D6" s="76" t="s">
        <v>26</v>
      </c>
      <c r="E6" s="76" t="s">
        <v>27</v>
      </c>
      <c r="F6" s="77" t="s">
        <v>28</v>
      </c>
      <c r="G6" s="76" t="s">
        <v>29</v>
      </c>
      <c r="H6" s="76" t="s">
        <v>30</v>
      </c>
      <c r="I6" s="76" t="s">
        <v>31</v>
      </c>
      <c r="J6" s="77" t="s">
        <v>32</v>
      </c>
      <c r="K6" s="77" t="s">
        <v>33</v>
      </c>
      <c r="L6" s="4"/>
      <c r="M6" s="9"/>
      <c r="N6" s="80"/>
      <c r="O6" s="80"/>
    </row>
    <row r="7" spans="3:24" ht="27" thickBot="1" x14ac:dyDescent="0.3">
      <c r="C7" s="59" t="s">
        <v>34</v>
      </c>
      <c r="D7" s="60" t="s">
        <v>35</v>
      </c>
      <c r="E7" s="61" t="s">
        <v>36</v>
      </c>
      <c r="F7" s="62" t="s">
        <v>37</v>
      </c>
      <c r="G7" s="62" t="s">
        <v>97</v>
      </c>
      <c r="H7" s="61" t="s">
        <v>39</v>
      </c>
      <c r="I7" s="61" t="s">
        <v>6</v>
      </c>
      <c r="J7" s="62" t="s">
        <v>40</v>
      </c>
      <c r="K7" s="122" t="s">
        <v>41</v>
      </c>
      <c r="L7" s="59" t="s">
        <v>42</v>
      </c>
      <c r="M7" s="21"/>
      <c r="N7" s="80"/>
      <c r="O7" s="80"/>
      <c r="T7" s="84" t="s">
        <v>83</v>
      </c>
      <c r="U7" s="84" t="s">
        <v>84</v>
      </c>
      <c r="V7" s="85" t="s">
        <v>85</v>
      </c>
    </row>
    <row r="8" spans="3:24" x14ac:dyDescent="0.2">
      <c r="C8" s="63" t="s">
        <v>43</v>
      </c>
      <c r="D8" s="160">
        <v>11839.85</v>
      </c>
      <c r="E8" s="161">
        <v>330.54</v>
      </c>
      <c r="F8" s="161">
        <v>310.60000000000002</v>
      </c>
      <c r="G8" s="161">
        <v>988.41</v>
      </c>
      <c r="H8" s="161">
        <v>4639.12</v>
      </c>
      <c r="I8" s="161">
        <v>21499.94</v>
      </c>
      <c r="J8" s="161">
        <v>978.79</v>
      </c>
      <c r="K8" s="162">
        <v>3273.81</v>
      </c>
      <c r="L8" s="163">
        <f t="shared" ref="L8:L19" si="0">SUM(D8:K8)</f>
        <v>43861.06</v>
      </c>
      <c r="M8" s="22"/>
      <c r="N8" s="80"/>
      <c r="O8" s="80"/>
      <c r="T8" s="86" t="s">
        <v>86</v>
      </c>
      <c r="U8" s="87">
        <v>34.262454545454545</v>
      </c>
      <c r="V8" s="88">
        <v>123.45481884272728</v>
      </c>
      <c r="W8" s="83">
        <f>U8/U10</f>
        <v>0.94019138755980858</v>
      </c>
      <c r="X8" s="81">
        <f>R17*W8</f>
        <v>117523.92344497607</v>
      </c>
    </row>
    <row r="9" spans="3:24" x14ac:dyDescent="0.2">
      <c r="C9" s="28" t="s">
        <v>44</v>
      </c>
      <c r="D9" s="167">
        <v>10327.43</v>
      </c>
      <c r="E9" s="168">
        <v>127.16</v>
      </c>
      <c r="F9" s="168">
        <v>73.989999999999995</v>
      </c>
      <c r="G9" s="168">
        <v>1523.25</v>
      </c>
      <c r="H9" s="168">
        <v>1037.6600000000001</v>
      </c>
      <c r="I9" s="168">
        <v>29604.29</v>
      </c>
      <c r="J9" s="168">
        <v>843.19</v>
      </c>
      <c r="K9" s="169">
        <v>127.02</v>
      </c>
      <c r="L9" s="170">
        <f t="shared" si="0"/>
        <v>43663.99</v>
      </c>
      <c r="M9" s="22"/>
      <c r="N9" s="80"/>
      <c r="O9" s="80"/>
      <c r="T9" s="89" t="s">
        <v>87</v>
      </c>
      <c r="U9" s="90">
        <v>2.1795454545454547</v>
      </c>
      <c r="V9" s="91">
        <v>10.079613090909092</v>
      </c>
      <c r="W9" s="83">
        <f>U9/U10</f>
        <v>5.9808612440191387E-2</v>
      </c>
      <c r="X9" s="81">
        <f>R17*W9</f>
        <v>7476.076555023923</v>
      </c>
    </row>
    <row r="10" spans="3:24" x14ac:dyDescent="0.2">
      <c r="C10" s="28" t="s">
        <v>45</v>
      </c>
      <c r="D10" s="167">
        <v>8940.9</v>
      </c>
      <c r="E10" s="168">
        <v>208.83</v>
      </c>
      <c r="F10" s="168">
        <v>61.92</v>
      </c>
      <c r="G10" s="168">
        <v>781.15</v>
      </c>
      <c r="H10" s="168">
        <v>22475.88</v>
      </c>
      <c r="I10" s="168">
        <v>9490.14</v>
      </c>
      <c r="J10" s="168">
        <v>729.99</v>
      </c>
      <c r="K10" s="169">
        <v>1088.93</v>
      </c>
      <c r="L10" s="170">
        <f t="shared" si="0"/>
        <v>43777.74</v>
      </c>
      <c r="M10" s="22"/>
      <c r="N10" s="80"/>
      <c r="O10" s="80"/>
      <c r="T10" s="92" t="s">
        <v>88</v>
      </c>
      <c r="U10" s="93">
        <v>36.442</v>
      </c>
      <c r="V10" s="94">
        <v>133.53443193363637</v>
      </c>
      <c r="X10" s="81">
        <f>SUM(X8:X9)</f>
        <v>125000</v>
      </c>
    </row>
    <row r="11" spans="3:24" x14ac:dyDescent="0.2">
      <c r="C11" s="28" t="s">
        <v>46</v>
      </c>
      <c r="D11" s="23">
        <v>7954.36</v>
      </c>
      <c r="E11" s="24">
        <v>0</v>
      </c>
      <c r="F11" s="24">
        <v>0.54</v>
      </c>
      <c r="G11" s="24">
        <v>956.11</v>
      </c>
      <c r="H11" s="24">
        <v>7659.5</v>
      </c>
      <c r="I11" s="24">
        <v>17869.73</v>
      </c>
      <c r="J11" s="24">
        <v>649.44000000000005</v>
      </c>
      <c r="K11" s="25">
        <v>437.66</v>
      </c>
      <c r="L11" s="65">
        <f t="shared" si="0"/>
        <v>35527.340000000011</v>
      </c>
      <c r="M11" s="22"/>
      <c r="N11" s="80"/>
      <c r="O11" s="80"/>
      <c r="T11" s="89" t="s">
        <v>89</v>
      </c>
      <c r="U11" s="90">
        <v>0.47626930693069303</v>
      </c>
      <c r="V11" s="91">
        <v>1.7160983294257424</v>
      </c>
      <c r="W11" s="83">
        <f>U11/U13</f>
        <v>0.32046751834737697</v>
      </c>
      <c r="X11" s="81">
        <f>R18*W11</f>
        <v>1762.5713509105733</v>
      </c>
    </row>
    <row r="12" spans="3:24" x14ac:dyDescent="0.2">
      <c r="C12" s="28" t="s">
        <v>47</v>
      </c>
      <c r="D12" s="23">
        <v>8928.7999999999993</v>
      </c>
      <c r="E12" s="24">
        <v>0</v>
      </c>
      <c r="F12" s="24">
        <v>0</v>
      </c>
      <c r="G12" s="24">
        <v>894.51</v>
      </c>
      <c r="H12" s="24">
        <v>261.01</v>
      </c>
      <c r="I12" s="24">
        <v>25231.14</v>
      </c>
      <c r="J12" s="24">
        <v>729.01</v>
      </c>
      <c r="K12" s="25">
        <v>390.21</v>
      </c>
      <c r="L12" s="65">
        <f t="shared" si="0"/>
        <v>36434.68</v>
      </c>
      <c r="M12" s="22"/>
      <c r="N12" s="80"/>
      <c r="O12" s="80"/>
      <c r="T12" s="86" t="s">
        <v>90</v>
      </c>
      <c r="U12" s="95">
        <v>1.0099009900990099</v>
      </c>
      <c r="V12" s="88">
        <v>3.6388853465346536</v>
      </c>
      <c r="W12" s="83">
        <f>U12/U13</f>
        <v>0.67953248165262292</v>
      </c>
      <c r="X12" s="81">
        <f>R18*W12</f>
        <v>3737.428649089426</v>
      </c>
    </row>
    <row r="13" spans="3:24" x14ac:dyDescent="0.2">
      <c r="C13" s="28" t="s">
        <v>48</v>
      </c>
      <c r="D13" s="23">
        <v>11173.74</v>
      </c>
      <c r="E13" s="24">
        <v>0</v>
      </c>
      <c r="F13" s="24">
        <v>0</v>
      </c>
      <c r="G13" s="24">
        <v>1085.75</v>
      </c>
      <c r="H13" s="24">
        <v>23961.07</v>
      </c>
      <c r="I13" s="24">
        <v>17831.96</v>
      </c>
      <c r="J13" s="24">
        <v>912.29</v>
      </c>
      <c r="K13" s="25">
        <v>42660.18</v>
      </c>
      <c r="L13" s="65">
        <f t="shared" si="0"/>
        <v>97624.989999999991</v>
      </c>
      <c r="M13" s="26"/>
      <c r="N13" s="80"/>
      <c r="O13" s="80"/>
      <c r="T13" s="96" t="s">
        <v>91</v>
      </c>
      <c r="U13" s="97">
        <v>1.486170297029703</v>
      </c>
      <c r="V13" s="98">
        <v>5.3549836759603959</v>
      </c>
      <c r="X13" s="81">
        <f>SUM(X11:X12)</f>
        <v>5499.9999999999991</v>
      </c>
    </row>
    <row r="14" spans="3:24" x14ac:dyDescent="0.2">
      <c r="C14" s="28" t="s">
        <v>49</v>
      </c>
      <c r="D14" s="23">
        <v>11047.2</v>
      </c>
      <c r="E14" s="24">
        <v>603.11</v>
      </c>
      <c r="F14" s="24">
        <v>0</v>
      </c>
      <c r="G14" s="24">
        <v>1367.59</v>
      </c>
      <c r="H14" s="24">
        <v>27462.53</v>
      </c>
      <c r="I14" s="24">
        <v>19547.240000000002</v>
      </c>
      <c r="J14" s="24">
        <v>926.46</v>
      </c>
      <c r="K14" s="25">
        <v>3161.69</v>
      </c>
      <c r="L14" s="65">
        <f t="shared" si="0"/>
        <v>64115.82</v>
      </c>
      <c r="M14" s="22"/>
      <c r="N14" s="80"/>
      <c r="O14" s="80"/>
      <c r="T14" s="92" t="s">
        <v>92</v>
      </c>
      <c r="U14" s="93">
        <v>3.8426666666666667</v>
      </c>
      <c r="V14" s="94">
        <v>13.845934959999999</v>
      </c>
    </row>
    <row r="15" spans="3:24" x14ac:dyDescent="0.2">
      <c r="C15" s="28" t="s">
        <v>50</v>
      </c>
      <c r="D15" s="164">
        <v>10282.629999999999</v>
      </c>
      <c r="E15" s="165">
        <v>0</v>
      </c>
      <c r="F15" s="165">
        <v>3.39</v>
      </c>
      <c r="G15" s="165">
        <v>1328.5</v>
      </c>
      <c r="H15" s="165">
        <v>0</v>
      </c>
      <c r="I15" s="165">
        <v>29196.92</v>
      </c>
      <c r="J15" s="165">
        <v>859.95</v>
      </c>
      <c r="K15" s="166">
        <v>693.15</v>
      </c>
      <c r="L15" s="186">
        <f t="shared" si="0"/>
        <v>42364.539999999994</v>
      </c>
      <c r="M15" s="22"/>
      <c r="N15" s="80"/>
      <c r="O15" s="80"/>
      <c r="T15" s="96" t="s">
        <v>93</v>
      </c>
      <c r="U15" s="97">
        <v>35.422400000000003</v>
      </c>
      <c r="V15" s="98">
        <v>127.63434590400001</v>
      </c>
    </row>
    <row r="16" spans="3:24" ht="13.5" thickBot="1" x14ac:dyDescent="0.25">
      <c r="C16" s="28" t="s">
        <v>51</v>
      </c>
      <c r="D16" s="23"/>
      <c r="E16" s="24"/>
      <c r="F16" s="24"/>
      <c r="G16" s="24"/>
      <c r="H16" s="24"/>
      <c r="I16" s="24"/>
      <c r="J16" s="24"/>
      <c r="K16" s="25"/>
      <c r="L16" s="65">
        <f t="shared" si="0"/>
        <v>0</v>
      </c>
      <c r="M16" s="22"/>
      <c r="N16" s="80"/>
      <c r="O16" s="80"/>
      <c r="T16" s="92" t="s">
        <v>94</v>
      </c>
      <c r="U16" s="99">
        <v>73.446135231316717</v>
      </c>
      <c r="V16" s="94">
        <v>264.64184892683272</v>
      </c>
    </row>
    <row r="17" spans="2:22" ht="13.5" thickBot="1" x14ac:dyDescent="0.25">
      <c r="C17" s="28" t="s">
        <v>52</v>
      </c>
      <c r="D17" s="23"/>
      <c r="E17" s="24"/>
      <c r="F17" s="24"/>
      <c r="G17" s="24"/>
      <c r="H17" s="24"/>
      <c r="I17" s="24"/>
      <c r="J17" s="24"/>
      <c r="K17" s="25"/>
      <c r="L17" s="65">
        <f t="shared" si="0"/>
        <v>0</v>
      </c>
      <c r="M17" s="22"/>
      <c r="N17" s="80"/>
      <c r="O17" s="80"/>
      <c r="R17" s="100">
        <v>125000</v>
      </c>
      <c r="T17" s="84" t="s">
        <v>42</v>
      </c>
      <c r="U17" s="101">
        <v>150.6393721950131</v>
      </c>
      <c r="V17" s="102">
        <v>545.01154540042944</v>
      </c>
    </row>
    <row r="18" spans="2:22" x14ac:dyDescent="0.2">
      <c r="C18" s="28" t="s">
        <v>53</v>
      </c>
      <c r="D18" s="23"/>
      <c r="E18" s="24"/>
      <c r="F18" s="24"/>
      <c r="G18" s="24"/>
      <c r="H18" s="24"/>
      <c r="I18" s="24"/>
      <c r="J18" s="24"/>
      <c r="K18" s="25"/>
      <c r="L18" s="65">
        <f t="shared" si="0"/>
        <v>0</v>
      </c>
      <c r="M18" s="22"/>
      <c r="N18" s="80"/>
      <c r="O18" s="80"/>
      <c r="R18" s="100">
        <v>5500</v>
      </c>
      <c r="T18" s="52"/>
    </row>
    <row r="19" spans="2:22" ht="13.5" thickBot="1" x14ac:dyDescent="0.25">
      <c r="C19" s="64" t="s">
        <v>54</v>
      </c>
      <c r="D19" s="138"/>
      <c r="E19" s="139"/>
      <c r="F19" s="139"/>
      <c r="G19" s="139"/>
      <c r="H19" s="139"/>
      <c r="I19" s="139"/>
      <c r="J19" s="139"/>
      <c r="K19" s="140"/>
      <c r="L19" s="137">
        <f t="shared" si="0"/>
        <v>0</v>
      </c>
      <c r="M19" s="22"/>
      <c r="N19" s="80"/>
      <c r="O19" s="80"/>
      <c r="T19" s="52"/>
    </row>
    <row r="20" spans="2:22" x14ac:dyDescent="0.2">
      <c r="B20" s="181">
        <v>2016</v>
      </c>
      <c r="C20" s="66" t="s">
        <v>115</v>
      </c>
      <c r="D20" s="67">
        <f>SUM(D8:D19)</f>
        <v>80494.91</v>
      </c>
      <c r="E20" s="68">
        <f t="shared" ref="E20:L20" si="1">SUM(E8:E19)</f>
        <v>1269.6400000000001</v>
      </c>
      <c r="F20" s="68">
        <f t="shared" si="1"/>
        <v>450.44000000000005</v>
      </c>
      <c r="G20" s="68">
        <f t="shared" si="1"/>
        <v>8925.27</v>
      </c>
      <c r="H20" s="68">
        <f t="shared" si="1"/>
        <v>87496.77</v>
      </c>
      <c r="I20" s="68">
        <f t="shared" si="1"/>
        <v>170271.35999999999</v>
      </c>
      <c r="J20" s="68">
        <f t="shared" si="1"/>
        <v>6629.12</v>
      </c>
      <c r="K20" s="69">
        <f t="shared" si="1"/>
        <v>51832.65</v>
      </c>
      <c r="L20" s="70">
        <f t="shared" si="1"/>
        <v>407370.16</v>
      </c>
      <c r="M20" s="22"/>
      <c r="N20" s="80"/>
      <c r="O20" s="80"/>
      <c r="T20" s="52"/>
    </row>
    <row r="21" spans="2:22" x14ac:dyDescent="0.2">
      <c r="B21" s="182"/>
      <c r="C21" s="71" t="s">
        <v>81</v>
      </c>
      <c r="D21" s="75">
        <f>X8</f>
        <v>117523.92344497607</v>
      </c>
      <c r="E21" s="72">
        <f>X11</f>
        <v>1762.5713509105733</v>
      </c>
      <c r="F21" s="72">
        <f>X12</f>
        <v>3737.428649089426</v>
      </c>
      <c r="G21" s="72">
        <v>11000</v>
      </c>
      <c r="H21" s="72">
        <v>122000</v>
      </c>
      <c r="I21" s="72">
        <v>254164</v>
      </c>
      <c r="J21" s="72">
        <f>X9</f>
        <v>7476.076555023923</v>
      </c>
      <c r="K21" s="73">
        <v>65000</v>
      </c>
      <c r="L21" s="136">
        <f>SUM(D21:K21)</f>
        <v>582664</v>
      </c>
      <c r="M21" s="22"/>
      <c r="N21" s="80"/>
      <c r="O21" s="80"/>
      <c r="T21" s="52"/>
    </row>
    <row r="22" spans="2:22" x14ac:dyDescent="0.2">
      <c r="B22" s="182"/>
      <c r="C22" s="28" t="s">
        <v>82</v>
      </c>
      <c r="D22" s="133">
        <f>D21</f>
        <v>117523.92344497607</v>
      </c>
      <c r="E22" s="134">
        <f>E21</f>
        <v>1762.5713509105733</v>
      </c>
      <c r="F22" s="134">
        <f>F21</f>
        <v>3737.428649089426</v>
      </c>
      <c r="G22" s="134">
        <v>11000</v>
      </c>
      <c r="H22" s="134">
        <f>H21</f>
        <v>122000</v>
      </c>
      <c r="I22" s="134">
        <f>I21</f>
        <v>254164</v>
      </c>
      <c r="J22" s="134">
        <f>J21</f>
        <v>7476.076555023923</v>
      </c>
      <c r="K22" s="135">
        <f>K21</f>
        <v>65000</v>
      </c>
      <c r="L22" s="74">
        <f>SUM(D22:K22)</f>
        <v>582664</v>
      </c>
      <c r="M22" s="29" t="s">
        <v>116</v>
      </c>
      <c r="N22" s="80"/>
      <c r="O22" s="80"/>
      <c r="T22" s="52"/>
    </row>
    <row r="23" spans="2:22" x14ac:dyDescent="0.2">
      <c r="B23" s="182"/>
      <c r="C23" s="30" t="s">
        <v>57</v>
      </c>
      <c r="D23" s="53">
        <f>D20/D22</f>
        <v>0.68492361078880415</v>
      </c>
      <c r="E23" s="53">
        <f t="shared" ref="E23:K23" si="2">E20/E22</f>
        <v>0.72033395944174583</v>
      </c>
      <c r="F23" s="53">
        <f t="shared" si="2"/>
        <v>0.12052136436363639</v>
      </c>
      <c r="G23" s="53">
        <f t="shared" si="2"/>
        <v>0.81138818181818184</v>
      </c>
      <c r="H23" s="53">
        <f t="shared" si="2"/>
        <v>0.7171866393442623</v>
      </c>
      <c r="I23" s="53">
        <f t="shared" si="2"/>
        <v>0.66992713366173018</v>
      </c>
      <c r="J23" s="53">
        <f t="shared" si="2"/>
        <v>0.88671109120000002</v>
      </c>
      <c r="K23" s="53">
        <f t="shared" si="2"/>
        <v>0.79742538461538459</v>
      </c>
      <c r="L23" s="149">
        <f>L20/L22</f>
        <v>0.69915107162961843</v>
      </c>
      <c r="M23" s="31">
        <f>C28/12</f>
        <v>0.66666666666666663</v>
      </c>
      <c r="N23" s="26" t="str">
        <f>IF(L23&gt;M23,"OK :-)","KO :-( !!!")</f>
        <v>OK :-)</v>
      </c>
      <c r="O23" s="80"/>
    </row>
    <row r="24" spans="2:22" x14ac:dyDescent="0.2">
      <c r="B24" s="182"/>
      <c r="C24" s="30" t="s">
        <v>114</v>
      </c>
      <c r="D24" s="23">
        <f>D22/12*$C$28</f>
        <v>78349.282296650708</v>
      </c>
      <c r="E24" s="23">
        <f t="shared" ref="E24:K24" si="3">E22/12*$C$28</f>
        <v>1175.0475672737155</v>
      </c>
      <c r="F24" s="23">
        <f t="shared" si="3"/>
        <v>2491.6190993929508</v>
      </c>
      <c r="G24" s="23">
        <f t="shared" si="3"/>
        <v>7333.333333333333</v>
      </c>
      <c r="H24" s="23">
        <f t="shared" si="3"/>
        <v>81333.333333333328</v>
      </c>
      <c r="I24" s="23">
        <f t="shared" si="3"/>
        <v>169442.66666666666</v>
      </c>
      <c r="J24" s="23">
        <f t="shared" si="3"/>
        <v>4984.0510366826156</v>
      </c>
      <c r="K24" s="23">
        <f t="shared" si="3"/>
        <v>43333.333333333336</v>
      </c>
      <c r="L24" s="143">
        <f>SUM(D24:K24)</f>
        <v>388442.66666666663</v>
      </c>
      <c r="M24" s="22"/>
      <c r="N24" s="80"/>
      <c r="O24" s="80"/>
    </row>
    <row r="25" spans="2:22" ht="13.5" thickBot="1" x14ac:dyDescent="0.25">
      <c r="B25" s="183"/>
      <c r="C25" s="32" t="s">
        <v>58</v>
      </c>
      <c r="D25" s="33">
        <f>SUM(D20-D24)</f>
        <v>2145.6277033492952</v>
      </c>
      <c r="E25" s="34">
        <f t="shared" ref="E25:K25" si="4">SUM(E20-E24)</f>
        <v>94.592432726284642</v>
      </c>
      <c r="F25" s="34">
        <f t="shared" si="4"/>
        <v>-2041.1790993929508</v>
      </c>
      <c r="G25" s="34">
        <f t="shared" si="4"/>
        <v>1591.9366666666674</v>
      </c>
      <c r="H25" s="34">
        <f t="shared" si="4"/>
        <v>6163.4366666666756</v>
      </c>
      <c r="I25" s="34">
        <f t="shared" si="4"/>
        <v>828.69333333332906</v>
      </c>
      <c r="J25" s="34">
        <f t="shared" si="4"/>
        <v>1645.0689633173843</v>
      </c>
      <c r="K25" s="35">
        <f t="shared" si="4"/>
        <v>8499.3166666666657</v>
      </c>
      <c r="L25" s="27">
        <f>SUM(D25:K25)</f>
        <v>18927.493333333354</v>
      </c>
      <c r="M25" s="22"/>
      <c r="N25" s="80"/>
      <c r="O25" s="80"/>
    </row>
    <row r="26" spans="2:22" x14ac:dyDescent="0.2">
      <c r="B26" s="182">
        <v>2015</v>
      </c>
      <c r="C26" s="128" t="s">
        <v>56</v>
      </c>
      <c r="D26" s="129">
        <f>Zdroj!C6</f>
        <v>111181.39234449761</v>
      </c>
      <c r="E26" s="130">
        <f>Zdroj!D6</f>
        <v>3636.3449306876864</v>
      </c>
      <c r="F26" s="130">
        <f>Zdroj!E6</f>
        <v>7710.6550693123127</v>
      </c>
      <c r="G26" s="130">
        <f>Zdroj!F6</f>
        <v>9797</v>
      </c>
      <c r="H26" s="130">
        <f>Zdroj!G6</f>
        <v>108260</v>
      </c>
      <c r="I26" s="130">
        <f>Zdroj!H6</f>
        <v>238920</v>
      </c>
      <c r="J26" s="130">
        <f>Zdroj!I6</f>
        <v>7072.6076555023919</v>
      </c>
      <c r="K26" s="131">
        <f>Zdroj!J6</f>
        <v>63315</v>
      </c>
      <c r="L26" s="132">
        <f>SUM(D26:K26)</f>
        <v>549893</v>
      </c>
      <c r="M26" s="22"/>
      <c r="N26" s="80"/>
      <c r="O26" s="80"/>
    </row>
    <row r="27" spans="2:22" x14ac:dyDescent="0.2">
      <c r="B27" s="182"/>
      <c r="C27" s="36" t="s">
        <v>114</v>
      </c>
      <c r="D27" s="37">
        <f>D26/12*$C$28</f>
        <v>74120.928229665078</v>
      </c>
      <c r="E27" s="38">
        <f t="shared" ref="E27:K27" si="5">E26/12*$C$28</f>
        <v>2424.2299537917911</v>
      </c>
      <c r="F27" s="38">
        <f t="shared" si="5"/>
        <v>5140.4367128748754</v>
      </c>
      <c r="G27" s="38">
        <f t="shared" si="5"/>
        <v>6531.333333333333</v>
      </c>
      <c r="H27" s="38">
        <f t="shared" si="5"/>
        <v>72173.333333333328</v>
      </c>
      <c r="I27" s="38">
        <f t="shared" si="5"/>
        <v>159280</v>
      </c>
      <c r="J27" s="38">
        <f t="shared" si="5"/>
        <v>4715.0717703349283</v>
      </c>
      <c r="K27" s="39">
        <f t="shared" si="5"/>
        <v>42210</v>
      </c>
      <c r="L27" s="40">
        <f>L26/12*3</f>
        <v>137473.25</v>
      </c>
      <c r="M27" s="41"/>
      <c r="N27" s="80"/>
      <c r="O27" s="80"/>
    </row>
    <row r="28" spans="2:22" x14ac:dyDescent="0.2">
      <c r="B28" s="182"/>
      <c r="C28" s="123">
        <v>8</v>
      </c>
      <c r="D28" s="124">
        <f>VLOOKUP($C$28,Zdroj!$B$7:$J$18,2,FALSE)</f>
        <v>71294.778205550232</v>
      </c>
      <c r="E28" s="125">
        <f>VLOOKUP($C$28,Zdroj!$B$7:$J$18,3,FALSE)</f>
        <v>163.30901354987768</v>
      </c>
      <c r="F28" s="125">
        <f>VLOOKUP($C$28,Zdroj!$B$7:$J$18,4,FALSE)</f>
        <v>346.28713645012232</v>
      </c>
      <c r="G28" s="125">
        <f>VLOOKUP($C$28,Zdroj!$B$7:$J$18,5,FALSE)</f>
        <v>9005.0165699999998</v>
      </c>
      <c r="H28" s="125">
        <f>VLOOKUP($C$28,Zdroj!$B$7:$J$18,6,FALSE)</f>
        <v>79461.628779999999</v>
      </c>
      <c r="I28" s="125">
        <f>VLOOKUP($C$28,Zdroj!$B$7:$J$18,7,FALSE)</f>
        <v>163087.16026</v>
      </c>
      <c r="J28" s="125">
        <f>VLOOKUP($C$28,Zdroj!$B$7:$J$18,8,FALSE)</f>
        <v>4535.2912344497599</v>
      </c>
      <c r="K28" s="126">
        <f>VLOOKUP($C$28,Zdroj!$B$7:$J$18,9,FALSE)</f>
        <v>48166.706399999995</v>
      </c>
      <c r="L28" s="127">
        <f>SUM(D28:K28)</f>
        <v>376060.17759999994</v>
      </c>
      <c r="M28" s="22"/>
      <c r="N28" s="80"/>
      <c r="O28" s="80"/>
    </row>
    <row r="29" spans="2:22" ht="13.5" thickBot="1" x14ac:dyDescent="0.25">
      <c r="B29" s="183"/>
      <c r="C29" s="55" t="s">
        <v>58</v>
      </c>
      <c r="D29" s="57">
        <f t="shared" ref="D29:K29" si="6">D28-D27</f>
        <v>-2826.150024114846</v>
      </c>
      <c r="E29" s="54">
        <f t="shared" si="6"/>
        <v>-2260.9209402419133</v>
      </c>
      <c r="F29" s="54">
        <f t="shared" si="6"/>
        <v>-4794.1495764247529</v>
      </c>
      <c r="G29" s="54">
        <f t="shared" si="6"/>
        <v>2473.6832366666667</v>
      </c>
      <c r="H29" s="54">
        <f t="shared" si="6"/>
        <v>7288.2954466666706</v>
      </c>
      <c r="I29" s="54">
        <f t="shared" si="6"/>
        <v>3807.1602600000042</v>
      </c>
      <c r="J29" s="54">
        <f t="shared" si="6"/>
        <v>-179.78053588516832</v>
      </c>
      <c r="K29" s="58">
        <f t="shared" si="6"/>
        <v>5956.7063999999955</v>
      </c>
      <c r="L29" s="56">
        <f>SUM(D29:K29)</f>
        <v>9464.844266666656</v>
      </c>
      <c r="M29" s="22"/>
      <c r="N29" s="80"/>
      <c r="O29" s="80"/>
    </row>
    <row r="30" spans="2:22" ht="13.5" thickBot="1" x14ac:dyDescent="0.25">
      <c r="C30" s="115" t="s">
        <v>59</v>
      </c>
      <c r="D30" s="116">
        <f t="shared" ref="D30:K30" si="7">SUM(D20-D28)</f>
        <v>9200.1317944497714</v>
      </c>
      <c r="E30" s="117">
        <f t="shared" si="7"/>
        <v>1106.3309864501225</v>
      </c>
      <c r="F30" s="117">
        <f t="shared" si="7"/>
        <v>104.15286354987774</v>
      </c>
      <c r="G30" s="117">
        <f t="shared" si="7"/>
        <v>-79.746569999999338</v>
      </c>
      <c r="H30" s="117">
        <f t="shared" si="7"/>
        <v>8035.141220000005</v>
      </c>
      <c r="I30" s="117">
        <f t="shared" si="7"/>
        <v>7184.1997399999818</v>
      </c>
      <c r="J30" s="117">
        <f t="shared" si="7"/>
        <v>2093.82876555024</v>
      </c>
      <c r="K30" s="118">
        <f t="shared" si="7"/>
        <v>3665.943600000006</v>
      </c>
      <c r="L30" s="119">
        <f>SUM(D30:K30)</f>
        <v>31309.982400000004</v>
      </c>
      <c r="M30" s="22"/>
      <c r="N30" s="80"/>
      <c r="O30" s="80"/>
    </row>
    <row r="31" spans="2:22" ht="13.5" thickBot="1" x14ac:dyDescent="0.25">
      <c r="C31" s="42"/>
      <c r="D31" s="103"/>
      <c r="E31" s="43"/>
      <c r="F31" s="22"/>
      <c r="G31" s="22"/>
      <c r="H31" s="22"/>
      <c r="I31" s="22"/>
      <c r="J31" s="22"/>
      <c r="K31" s="22"/>
      <c r="L31" s="22"/>
      <c r="M31" s="22"/>
      <c r="N31" s="80"/>
      <c r="O31" s="80"/>
    </row>
    <row r="32" spans="2:22" ht="13.5" thickBot="1" x14ac:dyDescent="0.25">
      <c r="C32" s="42"/>
      <c r="D32" s="103"/>
      <c r="E32" s="43"/>
      <c r="F32" s="22"/>
      <c r="G32" s="22"/>
      <c r="H32" s="22"/>
      <c r="I32" s="22"/>
      <c r="J32" s="22"/>
      <c r="K32" s="171" t="s">
        <v>98</v>
      </c>
      <c r="L32" s="175" t="s">
        <v>99</v>
      </c>
      <c r="M32" s="22"/>
      <c r="N32" s="80"/>
      <c r="O32" s="80"/>
    </row>
    <row r="33" spans="3:23" x14ac:dyDescent="0.2">
      <c r="C33" s="104" t="s">
        <v>95</v>
      </c>
      <c r="D33" s="106">
        <v>0</v>
      </c>
      <c r="E33" s="107" t="s">
        <v>60</v>
      </c>
      <c r="F33" s="46" t="s">
        <v>61</v>
      </c>
      <c r="G33" s="44"/>
      <c r="H33" s="142"/>
      <c r="I33" s="141"/>
      <c r="J33" s="111" t="s">
        <v>55</v>
      </c>
      <c r="K33" s="172">
        <f>D21+E21+G21+H21+I21</f>
        <v>506450.49479588663</v>
      </c>
      <c r="L33" s="176">
        <f>F21+J21+K21</f>
        <v>76213.505204113346</v>
      </c>
      <c r="M33" s="45"/>
      <c r="N33" s="44"/>
      <c r="O33" s="44"/>
    </row>
    <row r="34" spans="3:23" x14ac:dyDescent="0.2">
      <c r="C34" s="47"/>
      <c r="D34" s="108">
        <v>0</v>
      </c>
      <c r="E34" s="105" t="s">
        <v>60</v>
      </c>
      <c r="F34" s="48" t="s">
        <v>62</v>
      </c>
      <c r="G34" s="44"/>
      <c r="H34" s="142"/>
      <c r="I34" s="44"/>
      <c r="J34" s="112" t="s">
        <v>56</v>
      </c>
      <c r="K34" s="173">
        <f>D22+E22+G22+H22+I22</f>
        <v>506450.49479588663</v>
      </c>
      <c r="L34" s="177">
        <f>F22+J22+K22</f>
        <v>76213.505204113346</v>
      </c>
      <c r="M34" s="45"/>
      <c r="N34" s="44"/>
      <c r="O34" s="44"/>
    </row>
    <row r="35" spans="3:23" ht="13.5" thickBot="1" x14ac:dyDescent="0.25">
      <c r="C35" s="49"/>
      <c r="D35" s="109">
        <f>D33+D34</f>
        <v>0</v>
      </c>
      <c r="E35" s="110" t="s">
        <v>60</v>
      </c>
      <c r="F35" s="50" t="s">
        <v>64</v>
      </c>
      <c r="G35" s="44"/>
      <c r="H35" s="142"/>
      <c r="I35" s="44"/>
      <c r="J35" s="113" t="s">
        <v>63</v>
      </c>
      <c r="K35" s="173">
        <f>K34-K33</f>
        <v>0</v>
      </c>
      <c r="L35" s="177">
        <f>L34-L33</f>
        <v>0</v>
      </c>
      <c r="M35" s="45"/>
      <c r="N35" s="44"/>
      <c r="O35" s="44"/>
    </row>
    <row r="36" spans="3:23" ht="13.5" thickBot="1" x14ac:dyDescent="0.25">
      <c r="G36" s="44"/>
      <c r="H36" s="44"/>
      <c r="I36" s="44"/>
      <c r="J36" s="114" t="s">
        <v>65</v>
      </c>
      <c r="K36" s="174">
        <f>D20+E20+G20+H20+I20</f>
        <v>348457.95</v>
      </c>
      <c r="L36" s="178">
        <f>F20+J20+K20</f>
        <v>58912.21</v>
      </c>
      <c r="M36" s="45"/>
      <c r="N36" s="44"/>
      <c r="O36" s="44"/>
    </row>
    <row r="37" spans="3:23" ht="16.5" thickBot="1" x14ac:dyDescent="0.25">
      <c r="C37" s="44"/>
      <c r="D37" s="44"/>
      <c r="E37" s="44"/>
      <c r="F37" s="44"/>
      <c r="G37" s="44"/>
      <c r="H37" s="44"/>
      <c r="I37" s="44"/>
      <c r="J37" s="159" t="s">
        <v>66</v>
      </c>
      <c r="K37" s="179">
        <f>K36+L36</f>
        <v>407370.16000000003</v>
      </c>
      <c r="L37" s="180"/>
      <c r="M37" s="51"/>
      <c r="N37" s="44"/>
      <c r="O37" s="44"/>
    </row>
    <row r="38" spans="3:23" x14ac:dyDescent="0.2">
      <c r="C38" s="79" t="s">
        <v>67</v>
      </c>
      <c r="D38" s="9"/>
      <c r="E38" s="9"/>
      <c r="F38" s="9"/>
      <c r="G38" s="9"/>
      <c r="H38" s="9"/>
      <c r="I38" s="4"/>
      <c r="J38" s="4"/>
      <c r="K38" s="4"/>
      <c r="L38" s="4"/>
      <c r="M38" s="9"/>
      <c r="N38" s="4"/>
      <c r="O38" s="4"/>
    </row>
    <row r="39" spans="3:23" x14ac:dyDescent="0.2">
      <c r="C39" s="79"/>
      <c r="D39" s="9"/>
      <c r="E39" s="9"/>
      <c r="F39" s="9"/>
      <c r="G39" s="9"/>
      <c r="H39" s="9"/>
      <c r="I39" s="4"/>
      <c r="J39" s="4"/>
      <c r="K39" s="4"/>
      <c r="L39" s="4"/>
      <c r="M39" s="9"/>
      <c r="N39" s="4"/>
      <c r="O39" s="4"/>
    </row>
    <row r="40" spans="3:23" x14ac:dyDescent="0.2">
      <c r="C40" s="184" t="s">
        <v>100</v>
      </c>
      <c r="D40" s="144" t="s">
        <v>68</v>
      </c>
      <c r="E40" s="144" t="s">
        <v>69</v>
      </c>
      <c r="F40" s="144" t="s">
        <v>70</v>
      </c>
      <c r="G40" s="144" t="s">
        <v>71</v>
      </c>
      <c r="H40" s="144" t="s">
        <v>72</v>
      </c>
      <c r="I40" s="145" t="s">
        <v>73</v>
      </c>
    </row>
    <row r="41" spans="3:23" x14ac:dyDescent="0.2">
      <c r="C41" s="185"/>
      <c r="D41" s="146">
        <v>4.3</v>
      </c>
      <c r="E41" s="146">
        <v>5.53</v>
      </c>
      <c r="F41" s="146">
        <v>18.96</v>
      </c>
      <c r="G41" s="146">
        <v>15.14</v>
      </c>
      <c r="H41" s="146">
        <v>14.89</v>
      </c>
      <c r="I41" s="147">
        <v>25.4</v>
      </c>
      <c r="Q41" s="82"/>
      <c r="R41" s="81"/>
      <c r="V41" s="83"/>
      <c r="W41" s="81"/>
    </row>
    <row r="42" spans="3:23" ht="12.75" customHeight="1" x14ac:dyDescent="0.2">
      <c r="C42" s="184" t="s">
        <v>100</v>
      </c>
      <c r="D42" s="145" t="s">
        <v>74</v>
      </c>
      <c r="E42" s="145" t="s">
        <v>75</v>
      </c>
      <c r="F42" s="145" t="s">
        <v>76</v>
      </c>
      <c r="G42" s="144" t="s">
        <v>77</v>
      </c>
      <c r="H42" s="145" t="s">
        <v>78</v>
      </c>
      <c r="I42" s="145" t="s">
        <v>79</v>
      </c>
      <c r="J42" s="4"/>
      <c r="K42" s="4"/>
      <c r="L42" s="9"/>
      <c r="M42" s="4"/>
      <c r="N42" s="4"/>
      <c r="Q42" s="82"/>
      <c r="R42" s="81"/>
      <c r="V42" s="83"/>
      <c r="W42" s="81"/>
    </row>
    <row r="43" spans="3:23" x14ac:dyDescent="0.2">
      <c r="C43" s="185"/>
      <c r="D43" s="147">
        <v>30.7</v>
      </c>
      <c r="E43" s="147">
        <v>31.31</v>
      </c>
      <c r="F43" s="147"/>
      <c r="G43" s="146"/>
      <c r="H43" s="147"/>
      <c r="I43" s="147"/>
    </row>
    <row r="44" spans="3:23" x14ac:dyDescent="0.2"/>
    <row r="45" spans="3:23" x14ac:dyDescent="0.2">
      <c r="C45" s="81" t="s">
        <v>96</v>
      </c>
      <c r="D45" s="148">
        <v>42613</v>
      </c>
    </row>
    <row r="46" spans="3:23" x14ac:dyDescent="0.2"/>
    <row r="47" spans="3:23" hidden="1" x14ac:dyDescent="0.2"/>
  </sheetData>
  <mergeCells count="5">
    <mergeCell ref="K37:L37"/>
    <mergeCell ref="B20:B25"/>
    <mergeCell ref="B26:B29"/>
    <mergeCell ref="C40:C41"/>
    <mergeCell ref="C42:C43"/>
  </mergeCells>
  <pageMargins left="0.70866141732283472" right="0.70866141732283472" top="0.78740157480314965" bottom="0.78740157480314965" header="0.31496062992125984" footer="0.31496062992125984"/>
  <pageSetup paperSize="9" scale="7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2</xdr:col>
                    <xdr:colOff>0</xdr:colOff>
                    <xdr:row>27</xdr:row>
                    <xdr:rowOff>9525</xdr:rowOff>
                  </from>
                  <to>
                    <xdr:col>3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18"/>
  <sheetViews>
    <sheetView zoomScaleNormal="100" workbookViewId="0">
      <pane ySplit="1" topLeftCell="A2" activePane="bottomLeft" state="frozen"/>
      <selection pane="bottomLeft" activeCell="C20" sqref="C20"/>
    </sheetView>
  </sheetViews>
  <sheetFormatPr defaultRowHeight="12.75" x14ac:dyDescent="0.2"/>
  <cols>
    <col min="1" max="1" width="25.83203125" style="1" customWidth="1"/>
    <col min="2" max="2" width="5" style="158" bestFit="1" customWidth="1"/>
    <col min="3" max="3" width="15.1640625" style="2" customWidth="1"/>
    <col min="4" max="12" width="14" style="2" customWidth="1"/>
    <col min="13" max="15" width="14.83203125" style="2" customWidth="1"/>
  </cols>
  <sheetData>
    <row r="3" spans="1:17" x14ac:dyDescent="0.2">
      <c r="A3" s="150"/>
      <c r="B3" s="155"/>
      <c r="C3" s="12" t="s">
        <v>19</v>
      </c>
      <c r="D3" s="13" t="s">
        <v>20</v>
      </c>
      <c r="E3" s="13" t="s">
        <v>20</v>
      </c>
      <c r="F3" s="14" t="s">
        <v>21</v>
      </c>
      <c r="G3" s="14" t="s">
        <v>22</v>
      </c>
      <c r="H3" s="14" t="s">
        <v>23</v>
      </c>
      <c r="I3" s="12" t="s">
        <v>19</v>
      </c>
      <c r="J3" s="14" t="s">
        <v>24</v>
      </c>
    </row>
    <row r="4" spans="1:17" ht="13.5" thickBot="1" x14ac:dyDescent="0.25">
      <c r="A4" s="151" t="s">
        <v>0</v>
      </c>
      <c r="B4" s="156"/>
      <c r="C4" s="15" t="s">
        <v>26</v>
      </c>
      <c r="D4" s="15" t="s">
        <v>27</v>
      </c>
      <c r="E4" s="16" t="s">
        <v>28</v>
      </c>
      <c r="F4" s="15" t="s">
        <v>29</v>
      </c>
      <c r="G4" s="15" t="s">
        <v>30</v>
      </c>
      <c r="H4" s="15" t="s">
        <v>31</v>
      </c>
      <c r="I4" s="16" t="s">
        <v>32</v>
      </c>
      <c r="J4" s="16" t="s">
        <v>33</v>
      </c>
      <c r="K4" s="1"/>
      <c r="L4" s="1" t="s">
        <v>2</v>
      </c>
      <c r="M4" s="1" t="s">
        <v>4</v>
      </c>
      <c r="P4" s="2"/>
      <c r="Q4" s="2"/>
    </row>
    <row r="5" spans="1:17" ht="26.25" thickBot="1" x14ac:dyDescent="0.25">
      <c r="A5" s="151" t="s">
        <v>1</v>
      </c>
      <c r="B5" s="156"/>
      <c r="C5" s="17" t="s">
        <v>35</v>
      </c>
      <c r="D5" s="18" t="s">
        <v>36</v>
      </c>
      <c r="E5" s="19" t="s">
        <v>37</v>
      </c>
      <c r="F5" s="19" t="s">
        <v>38</v>
      </c>
      <c r="G5" s="18" t="s">
        <v>39</v>
      </c>
      <c r="H5" s="18" t="s">
        <v>6</v>
      </c>
      <c r="I5" s="19" t="s">
        <v>40</v>
      </c>
      <c r="J5" s="20" t="s">
        <v>41</v>
      </c>
      <c r="K5" s="1"/>
      <c r="L5" s="1" t="s">
        <v>3</v>
      </c>
      <c r="M5" s="1" t="s">
        <v>5</v>
      </c>
      <c r="P5" s="2"/>
      <c r="Q5" s="2"/>
    </row>
    <row r="6" spans="1:17" x14ac:dyDescent="0.2">
      <c r="A6" s="152" t="s">
        <v>7</v>
      </c>
      <c r="B6" s="156"/>
      <c r="C6" s="153">
        <v>111181.39234449761</v>
      </c>
      <c r="D6" s="153">
        <v>3636.3449306876864</v>
      </c>
      <c r="E6" s="153">
        <v>7710.6550693123127</v>
      </c>
      <c r="F6" s="153">
        <v>9797</v>
      </c>
      <c r="G6" s="153">
        <v>108260</v>
      </c>
      <c r="H6" s="153">
        <v>238920</v>
      </c>
      <c r="I6" s="153">
        <v>7072.6076555023919</v>
      </c>
      <c r="J6" s="153">
        <v>63315</v>
      </c>
      <c r="L6" s="2">
        <v>118254</v>
      </c>
      <c r="M6" s="2">
        <v>11347</v>
      </c>
      <c r="P6" s="2"/>
    </row>
    <row r="7" spans="1:17" x14ac:dyDescent="0.2">
      <c r="A7" s="154" t="s">
        <v>102</v>
      </c>
      <c r="B7" s="157">
        <v>1</v>
      </c>
      <c r="C7" s="153">
        <v>11215.984641889952</v>
      </c>
      <c r="D7" s="153">
        <v>33.425553718401737</v>
      </c>
      <c r="E7" s="153">
        <v>70.876916281598255</v>
      </c>
      <c r="F7" s="153">
        <v>1149.86284</v>
      </c>
      <c r="G7" s="153">
        <v>3613.9687100000001</v>
      </c>
      <c r="H7" s="153">
        <v>19905.83527</v>
      </c>
      <c r="I7" s="153">
        <v>713.48502811004789</v>
      </c>
      <c r="J7" s="153">
        <v>2854.4364300000002</v>
      </c>
      <c r="L7" s="2">
        <v>11929.46967</v>
      </c>
      <c r="M7" s="2">
        <v>104.30247</v>
      </c>
      <c r="P7" s="2"/>
    </row>
    <row r="8" spans="1:17" x14ac:dyDescent="0.2">
      <c r="A8" s="154" t="s">
        <v>104</v>
      </c>
      <c r="B8" s="157">
        <v>2</v>
      </c>
      <c r="C8" s="153">
        <v>20708.300796387557</v>
      </c>
      <c r="D8" s="153">
        <v>33.438273074204943</v>
      </c>
      <c r="E8" s="153">
        <v>70.903886925795049</v>
      </c>
      <c r="F8" s="153">
        <v>2866.6093799999999</v>
      </c>
      <c r="G8" s="153">
        <v>4534.6850000000004</v>
      </c>
      <c r="H8" s="153">
        <v>49327.307179999996</v>
      </c>
      <c r="I8" s="153">
        <v>1317.32193361244</v>
      </c>
      <c r="J8" s="153">
        <v>3129.5311200000001</v>
      </c>
      <c r="L8" s="2">
        <v>22025.622729999999</v>
      </c>
      <c r="M8" s="2">
        <v>104.34216000000001</v>
      </c>
      <c r="P8" s="2"/>
    </row>
    <row r="9" spans="1:17" x14ac:dyDescent="0.2">
      <c r="A9" s="154" t="s">
        <v>103</v>
      </c>
      <c r="B9" s="157">
        <v>3</v>
      </c>
      <c r="C9" s="153">
        <v>28726.606536674637</v>
      </c>
      <c r="D9" s="153">
        <v>133.81256145419951</v>
      </c>
      <c r="E9" s="153">
        <v>283.74164854580044</v>
      </c>
      <c r="F9" s="153">
        <v>3580.2168900000001</v>
      </c>
      <c r="G9" s="153">
        <v>4994.9693399999996</v>
      </c>
      <c r="H9" s="153">
        <v>69268.376250000001</v>
      </c>
      <c r="I9" s="153">
        <v>1827.3922733253587</v>
      </c>
      <c r="J9" s="153">
        <v>3527.5267000000003</v>
      </c>
      <c r="L9" s="2">
        <v>30553.998809999997</v>
      </c>
      <c r="M9" s="2">
        <v>417.55421000000001</v>
      </c>
      <c r="P9" s="2"/>
    </row>
    <row r="10" spans="1:17" x14ac:dyDescent="0.2">
      <c r="A10" s="154" t="s">
        <v>105</v>
      </c>
      <c r="B10" s="157">
        <v>4</v>
      </c>
      <c r="C10" s="153">
        <v>35667.107031602871</v>
      </c>
      <c r="D10" s="153">
        <v>135.41012728458819</v>
      </c>
      <c r="E10" s="153">
        <v>287.12919271541176</v>
      </c>
      <c r="F10" s="153">
        <v>4413.6235299999998</v>
      </c>
      <c r="G10" s="153">
        <v>31483.396410000001</v>
      </c>
      <c r="H10" s="153">
        <v>73838.123480000009</v>
      </c>
      <c r="I10" s="153">
        <v>2268.8999383971295</v>
      </c>
      <c r="J10" s="153">
        <v>3589.3786099999998</v>
      </c>
      <c r="L10" s="2">
        <v>37936.006970000002</v>
      </c>
      <c r="M10" s="2">
        <v>422.53932000000003</v>
      </c>
      <c r="P10" s="2"/>
    </row>
    <row r="11" spans="1:17" x14ac:dyDescent="0.2">
      <c r="A11" s="154" t="s">
        <v>106</v>
      </c>
      <c r="B11" s="157">
        <v>5</v>
      </c>
      <c r="C11" s="153">
        <v>43792.06124770335</v>
      </c>
      <c r="D11" s="153">
        <v>141.4939948165262</v>
      </c>
      <c r="E11" s="153">
        <v>300.02967518347373</v>
      </c>
      <c r="F11" s="153">
        <v>5350.1628899999996</v>
      </c>
      <c r="G11" s="153">
        <v>31674.034480000002</v>
      </c>
      <c r="H11" s="153">
        <v>100738.62711</v>
      </c>
      <c r="I11" s="153">
        <v>2785.7545322966512</v>
      </c>
      <c r="J11" s="153">
        <v>3589.3786099999998</v>
      </c>
      <c r="L11" s="2">
        <v>46577.815780000004</v>
      </c>
      <c r="M11" s="2">
        <v>441.52366999999998</v>
      </c>
      <c r="P11" s="2"/>
    </row>
    <row r="12" spans="1:17" x14ac:dyDescent="0.2">
      <c r="A12" s="154" t="s">
        <v>107</v>
      </c>
      <c r="B12" s="157">
        <v>6</v>
      </c>
      <c r="C12" s="153">
        <v>53015.518843923441</v>
      </c>
      <c r="D12" s="153">
        <v>145.51701905952703</v>
      </c>
      <c r="E12" s="153">
        <v>308.56026094047292</v>
      </c>
      <c r="F12" s="153">
        <v>6361.4427999999998</v>
      </c>
      <c r="G12" s="153">
        <v>52110.401709999998</v>
      </c>
      <c r="H12" s="153">
        <v>114181.11426999999</v>
      </c>
      <c r="I12" s="153">
        <v>3372.4884760765549</v>
      </c>
      <c r="J12" s="153">
        <v>45986.692040000002</v>
      </c>
      <c r="L12" s="2">
        <v>56388.007319999997</v>
      </c>
      <c r="M12" s="2">
        <v>454.07728000000003</v>
      </c>
      <c r="P12" s="2"/>
    </row>
    <row r="13" spans="1:17" x14ac:dyDescent="0.2">
      <c r="A13" s="154" t="s">
        <v>108</v>
      </c>
      <c r="B13" s="157">
        <v>7</v>
      </c>
      <c r="C13" s="153">
        <v>62341.819763971289</v>
      </c>
      <c r="D13" s="153">
        <v>147.90196076379448</v>
      </c>
      <c r="E13" s="153">
        <v>313.61738923620544</v>
      </c>
      <c r="F13" s="153">
        <v>7728.4335099999998</v>
      </c>
      <c r="G13" s="153">
        <v>79461.628779999999</v>
      </c>
      <c r="H13" s="153">
        <v>132921.85193999999</v>
      </c>
      <c r="I13" s="153">
        <v>3965.7646160287081</v>
      </c>
      <c r="J13" s="153">
        <v>47415.66388</v>
      </c>
      <c r="L13" s="2">
        <v>66307.58438</v>
      </c>
      <c r="M13" s="2">
        <v>461.51934999999997</v>
      </c>
      <c r="P13" s="2"/>
    </row>
    <row r="14" spans="1:17" x14ac:dyDescent="0.2">
      <c r="A14" s="154" t="s">
        <v>109</v>
      </c>
      <c r="B14" s="157">
        <v>8</v>
      </c>
      <c r="C14" s="153">
        <v>71294.778205550232</v>
      </c>
      <c r="D14" s="153">
        <v>163.30901354987768</v>
      </c>
      <c r="E14" s="153">
        <v>346.28713645012232</v>
      </c>
      <c r="F14" s="153">
        <v>9005.0165699999998</v>
      </c>
      <c r="G14" s="153">
        <v>79461.628779999999</v>
      </c>
      <c r="H14" s="153">
        <v>163087.16026</v>
      </c>
      <c r="I14" s="153">
        <v>4535.2912344497599</v>
      </c>
      <c r="J14" s="153">
        <v>48166.706399999995</v>
      </c>
      <c r="L14" s="2">
        <v>75830.069439999992</v>
      </c>
      <c r="M14" s="2">
        <v>509.59615000000002</v>
      </c>
      <c r="P14" s="2"/>
    </row>
    <row r="15" spans="1:17" x14ac:dyDescent="0.2">
      <c r="A15" s="154" t="s">
        <v>110</v>
      </c>
      <c r="B15" s="157">
        <v>9</v>
      </c>
      <c r="C15" s="153">
        <v>80379.786452296641</v>
      </c>
      <c r="D15" s="153">
        <v>454.56535678173407</v>
      </c>
      <c r="E15" s="153">
        <v>963.87904321826568</v>
      </c>
      <c r="F15" s="153">
        <v>10282.229640000001</v>
      </c>
      <c r="G15" s="153">
        <v>97137.403919999997</v>
      </c>
      <c r="H15" s="153">
        <v>179638.74543000001</v>
      </c>
      <c r="I15" s="153">
        <v>5113.2179677033491</v>
      </c>
      <c r="J15" s="153">
        <v>48533.171479999997</v>
      </c>
      <c r="L15" s="2">
        <v>85493.004419999997</v>
      </c>
      <c r="M15" s="2">
        <v>1418.4443999999999</v>
      </c>
      <c r="P15" s="2"/>
    </row>
    <row r="16" spans="1:17" x14ac:dyDescent="0.2">
      <c r="A16" s="154" t="s">
        <v>111</v>
      </c>
      <c r="B16" s="157">
        <v>10</v>
      </c>
      <c r="C16" s="153">
        <v>89989.092482727254</v>
      </c>
      <c r="D16" s="153">
        <v>651.73275068496866</v>
      </c>
      <c r="E16" s="153">
        <v>1381.9608793150312</v>
      </c>
      <c r="F16" s="153">
        <v>11356.72783</v>
      </c>
      <c r="G16" s="153">
        <v>101886.26969</v>
      </c>
      <c r="H16" s="153">
        <v>195506.26293999999</v>
      </c>
      <c r="I16" s="153">
        <v>5724.4969772727263</v>
      </c>
      <c r="J16" s="153">
        <v>48898.260849999999</v>
      </c>
      <c r="L16" s="2">
        <v>95713.589459999988</v>
      </c>
      <c r="M16" s="2">
        <v>2033.69363</v>
      </c>
      <c r="P16" s="2"/>
    </row>
    <row r="17" spans="1:16" x14ac:dyDescent="0.2">
      <c r="A17" s="154" t="s">
        <v>112</v>
      </c>
      <c r="B17" s="157">
        <v>11</v>
      </c>
      <c r="C17" s="153">
        <v>99327.05039389951</v>
      </c>
      <c r="D17" s="153">
        <v>672.23880381625429</v>
      </c>
      <c r="E17" s="153">
        <v>1425.4427561837454</v>
      </c>
      <c r="F17" s="153">
        <v>12389.859400000001</v>
      </c>
      <c r="G17" s="153">
        <v>102562.80807</v>
      </c>
      <c r="H17" s="153">
        <v>226375.84711999999</v>
      </c>
      <c r="I17" s="153">
        <v>6318.5146561004776</v>
      </c>
      <c r="J17" s="153">
        <v>49061.002469999999</v>
      </c>
      <c r="L17" s="2">
        <v>105645.56504999999</v>
      </c>
      <c r="M17" s="2">
        <v>2097.68156</v>
      </c>
      <c r="P17" s="2"/>
    </row>
    <row r="18" spans="1:16" x14ac:dyDescent="0.2">
      <c r="A18" s="154" t="s">
        <v>113</v>
      </c>
      <c r="B18" s="157">
        <v>12</v>
      </c>
      <c r="C18" s="153">
        <v>111561.12631923445</v>
      </c>
      <c r="D18" s="153">
        <v>1660.5791213753735</v>
      </c>
      <c r="E18" s="153">
        <v>3521.1601386246252</v>
      </c>
      <c r="F18" s="153">
        <v>13403.01981</v>
      </c>
      <c r="G18" s="153">
        <v>124399.66617</v>
      </c>
      <c r="H18" s="153">
        <v>247392.75559000002</v>
      </c>
      <c r="I18" s="153">
        <v>7096.7637607655497</v>
      </c>
      <c r="J18" s="153">
        <v>65289.019869999996</v>
      </c>
      <c r="L18" s="2">
        <v>118657.89008</v>
      </c>
      <c r="M18" s="2">
        <v>5181.7392599999994</v>
      </c>
      <c r="P18" s="2"/>
    </row>
  </sheetData>
  <printOptions horizontalCentered="1"/>
  <pageMargins left="0" right="0" top="0" bottom="0" header="0" footer="0"/>
  <pageSetup paperSize="9" fitToHeight="0" orientation="landscape" r:id="rId1"/>
  <headerFooter>
    <oddFooter>&amp;R&amp;D (str. &amp;P z 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RUD CV 2016</vt:lpstr>
      <vt:lpstr>Zdroj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2016-02-08T16:26:18Z</dcterms:created>
  <dcterms:modified xsi:type="dcterms:W3CDTF">2016-09-06T09:13:42Z</dcterms:modified>
</cp:coreProperties>
</file>