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0428"/>
  </bookViews>
  <sheets>
    <sheet name="Výběrové porovnání dat" sheetId="1" r:id="rId1"/>
  </sheets>
  <definedNames>
    <definedName name="_FilterDatabase" localSheetId="0" hidden="1">'Výběrové porovnání dat'!$C$38:$L$38</definedName>
    <definedName name="Print_Area" localSheetId="0">'Výběrové porovnání dat'!$A$1:$V$73</definedName>
    <definedName name="Print_Titles" localSheetId="0">'Výběrové porovnání dat'!$38:$38</definedName>
  </definedNames>
  <calcPr calcId="152511"/>
</workbook>
</file>

<file path=xl/calcChain.xml><?xml version="1.0" encoding="utf-8"?>
<calcChain xmlns="http://schemas.openxmlformats.org/spreadsheetml/2006/main">
  <c r="R61" i="1" l="1"/>
  <c r="R60" i="1"/>
  <c r="R50" i="1"/>
  <c r="R51" i="1"/>
  <c r="R52" i="1"/>
  <c r="R53" i="1"/>
  <c r="R54" i="1"/>
  <c r="R49" i="1"/>
  <c r="R47" i="1"/>
  <c r="R44" i="1"/>
  <c r="Q44" i="1" l="1"/>
  <c r="Q60" i="1"/>
  <c r="Q47" i="1"/>
  <c r="Q49" i="1" l="1"/>
  <c r="P44" i="1"/>
  <c r="Q51" i="1"/>
  <c r="Q52" i="1"/>
  <c r="Q53" i="1" s="1"/>
  <c r="Q61" i="1"/>
  <c r="P52" i="1" l="1"/>
  <c r="P53" i="1"/>
  <c r="P47" i="1"/>
  <c r="P60" i="1" l="1"/>
  <c r="P61" i="1"/>
  <c r="O49" i="1" l="1"/>
  <c r="O51" i="1"/>
  <c r="O52" i="1"/>
  <c r="O53" i="1" s="1"/>
  <c r="O47" i="1"/>
  <c r="O50" i="1" s="1"/>
  <c r="O54" i="1" s="1"/>
  <c r="O44" i="1"/>
  <c r="O60" i="1" l="1"/>
  <c r="O61" i="1"/>
  <c r="N54" i="1" l="1"/>
  <c r="N53" i="1"/>
  <c r="N52" i="1"/>
  <c r="N51" i="1"/>
  <c r="N50" i="1"/>
  <c r="N49" i="1"/>
  <c r="N47" i="1"/>
  <c r="N44" i="1"/>
  <c r="N60" i="1" l="1"/>
  <c r="N61" i="1" l="1"/>
  <c r="H60" i="1" l="1"/>
  <c r="I60" i="1"/>
  <c r="J60" i="1" s="1"/>
  <c r="K60" i="1" s="1"/>
  <c r="L60" i="1" s="1"/>
  <c r="M60" i="1" s="1"/>
  <c r="G60" i="1"/>
  <c r="M53" i="1" l="1"/>
  <c r="M49" i="1" l="1"/>
  <c r="M51" i="1"/>
  <c r="M52" i="1"/>
  <c r="M47" i="1"/>
  <c r="M44" i="1"/>
  <c r="M50" i="1" l="1"/>
  <c r="M54" i="1" s="1"/>
  <c r="I61" i="1"/>
  <c r="G61" i="1"/>
  <c r="H61" i="1"/>
  <c r="J61" i="1"/>
  <c r="K61" i="1"/>
  <c r="L61" i="1"/>
  <c r="M61" i="1"/>
  <c r="S58" i="1" l="1"/>
  <c r="T58" i="1" s="1"/>
  <c r="S59" i="1"/>
  <c r="T59" i="1" s="1"/>
  <c r="F61" i="1"/>
  <c r="L52" i="1" l="1"/>
  <c r="F44" i="1"/>
  <c r="S61" i="1"/>
  <c r="T61" i="1" s="1"/>
  <c r="T65" i="1" s="1"/>
  <c r="S57" i="1" l="1"/>
  <c r="T57" i="1" s="1"/>
  <c r="S60" i="1" l="1"/>
  <c r="T60" i="1" s="1"/>
  <c r="S48" i="1" l="1"/>
  <c r="F52" i="1"/>
  <c r="F53" i="1" s="1"/>
  <c r="F51" i="1"/>
  <c r="F49" i="1"/>
  <c r="F47" i="1"/>
  <c r="F50" i="1" l="1"/>
  <c r="S39" i="1"/>
  <c r="T39" i="1" s="1"/>
  <c r="S40" i="1"/>
  <c r="T40" i="1" s="1"/>
  <c r="S41" i="1"/>
  <c r="T41" i="1" s="1"/>
  <c r="S43" i="1"/>
  <c r="T43" i="1" s="1"/>
  <c r="S45" i="1"/>
  <c r="T45" i="1" s="1"/>
  <c r="S46" i="1"/>
  <c r="T46" i="1" s="1"/>
  <c r="H52" i="1" l="1"/>
  <c r="H53" i="1" s="1"/>
  <c r="I52" i="1"/>
  <c r="I53" i="1" s="1"/>
  <c r="J52" i="1"/>
  <c r="J53" i="1" s="1"/>
  <c r="K52" i="1"/>
  <c r="K53" i="1" s="1"/>
  <c r="L53" i="1"/>
  <c r="G52" i="1"/>
  <c r="H49" i="1"/>
  <c r="I49" i="1"/>
  <c r="J49" i="1"/>
  <c r="K49" i="1"/>
  <c r="L49" i="1"/>
  <c r="G49" i="1"/>
  <c r="G44" i="1"/>
  <c r="H51" i="1"/>
  <c r="I51" i="1"/>
  <c r="J51" i="1"/>
  <c r="K51" i="1"/>
  <c r="L51" i="1"/>
  <c r="G51" i="1"/>
  <c r="H47" i="1"/>
  <c r="I47" i="1"/>
  <c r="J47" i="1"/>
  <c r="K47" i="1"/>
  <c r="L47" i="1"/>
  <c r="G47" i="1"/>
  <c r="H44" i="1"/>
  <c r="I44" i="1"/>
  <c r="J44" i="1"/>
  <c r="K44" i="1"/>
  <c r="L44" i="1"/>
  <c r="L50" i="1" l="1"/>
  <c r="L54" i="1" s="1"/>
  <c r="G53" i="1"/>
  <c r="S53" i="1" s="1"/>
  <c r="T53" i="1" s="1"/>
  <c r="S52" i="1"/>
  <c r="T52" i="1" s="1"/>
  <c r="S47" i="1"/>
  <c r="T47" i="1" s="1"/>
  <c r="S36" i="1" s="1"/>
  <c r="H50" i="1"/>
  <c r="H54" i="1" s="1"/>
  <c r="J50" i="1"/>
  <c r="J54" i="1" s="1"/>
  <c r="I50" i="1"/>
  <c r="I54" i="1" s="1"/>
  <c r="K50" i="1"/>
  <c r="K54" i="1" s="1"/>
  <c r="G50" i="1"/>
  <c r="G54" i="1" l="1"/>
  <c r="P50" i="1" l="1"/>
  <c r="P54" i="1"/>
  <c r="P49" i="1"/>
  <c r="S49" i="1" s="1"/>
  <c r="T49" i="1" s="1"/>
  <c r="P51" i="1" l="1"/>
  <c r="S42" i="1"/>
  <c r="T42" i="1" s="1"/>
  <c r="S44" i="1" l="1"/>
  <c r="Q50" i="1"/>
  <c r="S51" i="1"/>
  <c r="T51" i="1" s="1"/>
  <c r="E19" i="1"/>
  <c r="S50" i="1" l="1"/>
  <c r="E29" i="1" s="1"/>
  <c r="E15" i="1"/>
  <c r="Q54" i="1"/>
  <c r="S54" i="1" s="1"/>
  <c r="T44" i="1"/>
  <c r="S20" i="1" s="1"/>
  <c r="E24" i="1"/>
</calcChain>
</file>

<file path=xl/sharedStrings.xml><?xml version="1.0" encoding="utf-8"?>
<sst xmlns="http://schemas.openxmlformats.org/spreadsheetml/2006/main" count="83" uniqueCount="61">
  <si>
    <t>D-Pol</t>
  </si>
  <si>
    <t>Tř-Pol</t>
  </si>
  <si>
    <t>Název třídy položky</t>
  </si>
  <si>
    <t>B</t>
  </si>
  <si>
    <t>1</t>
  </si>
  <si>
    <t>DAŇOVÉ PŘÍJMY</t>
  </si>
  <si>
    <t>2</t>
  </si>
  <si>
    <t>NEDAŇOVÉ PŘÍJMY</t>
  </si>
  <si>
    <t>4</t>
  </si>
  <si>
    <t>5</t>
  </si>
  <si>
    <t>BĚŽNÉ VÝDAJE</t>
  </si>
  <si>
    <t>K</t>
  </si>
  <si>
    <t>3</t>
  </si>
  <si>
    <t>KAPITÁLOVÉ PŘÍJMY</t>
  </si>
  <si>
    <t>6</t>
  </si>
  <si>
    <t>KAPITÁLOVÉ VÝDAJE</t>
  </si>
  <si>
    <t>8</t>
  </si>
  <si>
    <t>FINANCOVÁNÍ</t>
  </si>
  <si>
    <t>Provozní saldo</t>
  </si>
  <si>
    <t>Kapitálové saldo</t>
  </si>
  <si>
    <t>PŘÍJMY CELKEM</t>
  </si>
  <si>
    <t>VÝDAJE CELKEM</t>
  </si>
  <si>
    <t>Celkové saldo vč. financování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</si>
  <si>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</si>
  <si>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</si>
  <si>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</si>
  <si>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</si>
  <si>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</si>
  <si>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</si>
  <si>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</si>
  <si>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</si>
  <si>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</si>
  <si>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</si>
  <si>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</si>
  <si>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</si>
  <si>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</si>
  <si>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PROVOZNÍ DOTACE</t>
  </si>
  <si>
    <t>KAPITÁLOVÉ TRANSFERY</t>
  </si>
  <si>
    <t>Aktuální stav:</t>
  </si>
  <si>
    <t>Provozní přebytek:</t>
  </si>
  <si>
    <t>Index finančních toků:</t>
  </si>
  <si>
    <t>Index provozních úspor</t>
  </si>
  <si>
    <t>Procento plnění/čerpání</t>
  </si>
  <si>
    <t>Upravený rozpočet</t>
  </si>
  <si>
    <t>Výsledek hospodaření:</t>
  </si>
  <si>
    <t>NA</t>
  </si>
  <si>
    <t>SALDO (Výsledek hospodaření)</t>
  </si>
  <si>
    <t>MarJ</t>
  </si>
  <si>
    <t>Stav prostředků na účtech</t>
  </si>
  <si>
    <t>změna od počátku</t>
  </si>
  <si>
    <t>počáteční stav</t>
  </si>
  <si>
    <t>Stav úvěru</t>
  </si>
  <si>
    <t>Správa aktiv</t>
  </si>
  <si>
    <t>Kapitálové saldo vč. financování</t>
  </si>
  <si>
    <t>Plnění příjmů</t>
  </si>
  <si>
    <t>Čerpání výdfajů</t>
  </si>
  <si>
    <t>Stav kapitálové rezervy</t>
  </si>
  <si>
    <t xml:space="preserve">Stav provozní rezervy </t>
  </si>
  <si>
    <t>284 365 345,58</t>
  </si>
  <si>
    <t>Monitoring hospodaření města Chomutova v roce 2016</t>
  </si>
  <si>
    <t>BĚŽNÉ PŘÍJMY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</si>
</sst>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9.75"/>
      <name val="Times New Roman"/>
    </font>
    <font>
      <sz val="9.75"/>
      <name val="Calibri"/>
      <family val="2"/>
      <charset val="238"/>
      <scheme val="minor"/>
    </font>
    <font>
      <b/>
      <sz val="9.75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28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9.75"/>
      <color theme="0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9.75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ECF1F8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 applyProtection="1"/>
    <xf numFmtId="0" fontId="1" fillId="0" borderId="0" xfId="0" applyFont="1" applyProtection="1"/>
    <xf numFmtId="0" fontId="2" fillId="0" borderId="0" xfId="0" applyFont="1" applyProtection="1"/>
    <xf numFmtId="49" fontId="1" fillId="0" borderId="0" xfId="0" applyNumberFormat="1" applyFont="1" applyAlignment="1" applyProtection="1">
      <alignment vertical="center"/>
    </xf>
    <xf numFmtId="4" fontId="1" fillId="0" borderId="0" xfId="0" applyNumberFormat="1" applyFont="1" applyAlignment="1" applyProtection="1">
      <alignment vertical="center"/>
    </xf>
    <xf numFmtId="0" fontId="1" fillId="2" borderId="0" xfId="0" applyFont="1" applyFill="1" applyProtection="1"/>
    <xf numFmtId="49" fontId="1" fillId="2" borderId="0" xfId="0" applyNumberFormat="1" applyFont="1" applyFill="1" applyAlignment="1" applyProtection="1">
      <alignment vertical="center"/>
    </xf>
    <xf numFmtId="4" fontId="1" fillId="2" borderId="0" xfId="0" applyNumberFormat="1" applyFont="1" applyFill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vertical="center"/>
    </xf>
    <xf numFmtId="0" fontId="2" fillId="2" borderId="0" xfId="0" applyFont="1" applyFill="1" applyProtection="1"/>
    <xf numFmtId="49" fontId="2" fillId="2" borderId="1" xfId="0" applyNumberFormat="1" applyFont="1" applyFill="1" applyBorder="1" applyAlignment="1" applyProtection="1">
      <alignment vertical="center"/>
    </xf>
    <xf numFmtId="49" fontId="3" fillId="2" borderId="0" xfId="0" applyNumberFormat="1" applyFont="1" applyFill="1" applyAlignment="1" applyProtection="1">
      <alignment vertical="center"/>
    </xf>
    <xf numFmtId="49" fontId="4" fillId="2" borderId="0" xfId="0" applyNumberFormat="1" applyFont="1" applyFill="1" applyAlignment="1" applyProtection="1">
      <alignment vertical="center"/>
    </xf>
    <xf numFmtId="49" fontId="5" fillId="3" borderId="1" xfId="0" applyNumberFormat="1" applyFont="1" applyFill="1" applyBorder="1" applyAlignment="1" applyProtection="1">
      <alignment horizontal="left" vertical="center" wrapText="1" indent="1"/>
    </xf>
    <xf numFmtId="4" fontId="5" fillId="3" borderId="1" xfId="0" applyNumberFormat="1" applyFont="1" applyFill="1" applyBorder="1" applyAlignment="1" applyProtection="1">
      <alignment horizontal="left" vertical="center" wrapText="1" indent="1"/>
    </xf>
    <xf numFmtId="4" fontId="6" fillId="0" borderId="1" xfId="0" applyNumberFormat="1" applyFont="1" applyBorder="1" applyAlignment="1" applyProtection="1">
      <alignment vertical="center" wrapText="1"/>
    </xf>
    <xf numFmtId="4" fontId="6" fillId="0" borderId="1" xfId="0" applyNumberFormat="1" applyFont="1" applyFill="1" applyBorder="1" applyAlignment="1" applyProtection="1">
      <alignment vertical="center"/>
    </xf>
    <xf numFmtId="4" fontId="5" fillId="3" borderId="1" xfId="0" applyNumberFormat="1" applyFont="1" applyFill="1" applyBorder="1" applyAlignment="1" applyProtection="1">
      <alignment vertical="center"/>
    </xf>
    <xf numFmtId="49" fontId="7" fillId="2" borderId="0" xfId="0" applyNumberFormat="1" applyFont="1" applyFill="1" applyAlignment="1" applyProtection="1">
      <alignment horizontal="left" indent="2"/>
    </xf>
    <xf numFmtId="49" fontId="7" fillId="2" borderId="0" xfId="0" applyNumberFormat="1" applyFont="1" applyFill="1" applyAlignment="1" applyProtection="1">
      <alignment horizontal="left" vertical="center" indent="2"/>
    </xf>
    <xf numFmtId="0" fontId="7" fillId="2" borderId="0" xfId="0" applyNumberFormat="1" applyFont="1" applyFill="1" applyAlignment="1" applyProtection="1">
      <alignment horizontal="left" vertical="center" indent="2"/>
    </xf>
    <xf numFmtId="164" fontId="7" fillId="2" borderId="0" xfId="0" applyNumberFormat="1" applyFont="1" applyFill="1" applyAlignment="1" applyProtection="1">
      <alignment horizontal="left" vertical="center" indent="2"/>
    </xf>
    <xf numFmtId="10" fontId="7" fillId="2" borderId="0" xfId="0" applyNumberFormat="1" applyFont="1" applyFill="1" applyAlignment="1" applyProtection="1">
      <alignment horizontal="left" vertical="center" indent="2"/>
    </xf>
    <xf numFmtId="164" fontId="7" fillId="2" borderId="0" xfId="0" applyNumberFormat="1" applyFont="1" applyFill="1" applyBorder="1" applyAlignment="1" applyProtection="1">
      <alignment horizontal="center" vertical="center"/>
    </xf>
    <xf numFmtId="4" fontId="7" fillId="2" borderId="0" xfId="0" applyNumberFormat="1" applyFont="1" applyFill="1" applyAlignment="1" applyProtection="1">
      <alignment horizontal="center" vertical="center"/>
    </xf>
    <xf numFmtId="49" fontId="1" fillId="4" borderId="0" xfId="0" applyNumberFormat="1" applyFont="1" applyFill="1" applyAlignment="1" applyProtection="1">
      <alignment vertical="center"/>
    </xf>
    <xf numFmtId="10" fontId="7" fillId="2" borderId="0" xfId="0" applyNumberFormat="1" applyFont="1" applyFill="1" applyAlignment="1" applyProtection="1">
      <alignment vertical="center"/>
    </xf>
    <xf numFmtId="0" fontId="8" fillId="2" borderId="0" xfId="0" applyFont="1" applyFill="1" applyProtection="1"/>
    <xf numFmtId="0" fontId="1" fillId="2" borderId="0" xfId="0" applyFont="1" applyFill="1" applyAlignment="1" applyProtection="1">
      <alignment horizontal="right"/>
    </xf>
    <xf numFmtId="4" fontId="1" fillId="0" borderId="1" xfId="0" applyNumberFormat="1" applyFont="1" applyFill="1" applyBorder="1" applyAlignment="1" applyProtection="1">
      <alignment horizontal="right" vertical="center"/>
    </xf>
    <xf numFmtId="49" fontId="1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Protection="1"/>
    <xf numFmtId="0" fontId="1" fillId="2" borderId="0" xfId="0" applyFont="1" applyFill="1" applyBorder="1" applyProtection="1"/>
    <xf numFmtId="4" fontId="5" fillId="4" borderId="2" xfId="0" applyNumberFormat="1" applyFont="1" applyFill="1" applyBorder="1" applyAlignment="1" applyProtection="1">
      <alignment vertical="center"/>
    </xf>
    <xf numFmtId="4" fontId="6" fillId="0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Border="1" applyAlignment="1" applyProtection="1">
      <alignment horizontal="right" vertical="center"/>
    </xf>
    <xf numFmtId="49" fontId="6" fillId="0" borderId="1" xfId="0" applyNumberFormat="1" applyFont="1" applyFill="1" applyBorder="1" applyAlignment="1" applyProtection="1">
      <alignment horizontal="left" vertical="center"/>
    </xf>
    <xf numFmtId="49" fontId="5" fillId="3" borderId="1" xfId="0" applyNumberFormat="1" applyFont="1" applyFill="1" applyBorder="1" applyAlignment="1" applyProtection="1">
      <alignment horizontal="left" vertical="center"/>
    </xf>
    <xf numFmtId="49" fontId="5" fillId="4" borderId="2" xfId="0" applyNumberFormat="1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vertical="center"/>
    </xf>
    <xf numFmtId="10" fontId="5" fillId="4" borderId="2" xfId="0" applyNumberFormat="1" applyFont="1" applyFill="1" applyBorder="1" applyAlignment="1" applyProtection="1">
      <alignment horizontal="right" vertical="center"/>
    </xf>
    <xf numFmtId="49" fontId="5" fillId="3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Protection="1"/>
    <xf numFmtId="0" fontId="9" fillId="2" borderId="0" xfId="0" applyFont="1" applyFill="1" applyAlignment="1" applyProtection="1">
      <alignment horizontal="right"/>
    </xf>
    <xf numFmtId="49" fontId="5" fillId="5" borderId="1" xfId="0" applyNumberFormat="1" applyFont="1" applyFill="1" applyBorder="1" applyAlignment="1" applyProtection="1">
      <alignment horizontal="left" vertical="center"/>
    </xf>
    <xf numFmtId="4" fontId="5" fillId="5" borderId="1" xfId="0" applyNumberFormat="1" applyFont="1" applyFill="1" applyBorder="1" applyAlignment="1" applyProtection="1">
      <alignment vertical="center"/>
    </xf>
    <xf numFmtId="49" fontId="5" fillId="6" borderId="1" xfId="0" applyNumberFormat="1" applyFont="1" applyFill="1" applyBorder="1" applyAlignment="1" applyProtection="1">
      <alignment horizontal="left" vertical="center"/>
    </xf>
    <xf numFmtId="4" fontId="5" fillId="6" borderId="1" xfId="0" applyNumberFormat="1" applyFont="1" applyFill="1" applyBorder="1" applyAlignment="1" applyProtection="1">
      <alignment vertical="center"/>
    </xf>
    <xf numFmtId="49" fontId="5" fillId="7" borderId="1" xfId="0" applyNumberFormat="1" applyFont="1" applyFill="1" applyBorder="1" applyAlignment="1" applyProtection="1">
      <alignment horizontal="left" vertical="center"/>
    </xf>
    <xf numFmtId="4" fontId="5" fillId="7" borderId="1" xfId="0" applyNumberFormat="1" applyFont="1" applyFill="1" applyBorder="1" applyAlignment="1" applyProtection="1">
      <alignment vertical="center"/>
    </xf>
    <xf numFmtId="4" fontId="1" fillId="0" borderId="0" xfId="0" applyNumberFormat="1" applyFont="1" applyProtection="1"/>
    <xf numFmtId="49" fontId="10" fillId="4" borderId="0" xfId="0" applyNumberFormat="1" applyFont="1" applyFill="1" applyAlignment="1" applyProtection="1">
      <alignment horizontal="right" vertical="center"/>
    </xf>
    <xf numFmtId="49" fontId="10" fillId="4" borderId="0" xfId="0" applyNumberFormat="1" applyFont="1" applyFill="1" applyAlignment="1" applyProtection="1">
      <alignment vertical="center"/>
    </xf>
    <xf numFmtId="10" fontId="10" fillId="2" borderId="0" xfId="0" applyNumberFormat="1" applyFont="1" applyFill="1" applyAlignment="1" applyProtection="1">
      <alignment vertical="center"/>
    </xf>
    <xf numFmtId="0" fontId="11" fillId="2" borderId="0" xfId="0" applyFont="1" applyFill="1" applyAlignment="1" applyProtection="1">
      <alignment vertical="top"/>
    </xf>
    <xf numFmtId="0" fontId="12" fillId="2" borderId="0" xfId="0" applyFont="1" applyFill="1" applyAlignment="1" applyProtection="1">
      <alignment vertical="top"/>
    </xf>
    <xf numFmtId="10" fontId="12" fillId="2" borderId="0" xfId="0" applyNumberFormat="1" applyFont="1" applyFill="1" applyAlignment="1" applyProtection="1">
      <alignment vertical="top"/>
    </xf>
    <xf numFmtId="0" fontId="12" fillId="2" borderId="0" xfId="0" applyFont="1" applyFill="1" applyAlignment="1" applyProtection="1">
      <alignment horizontal="left" vertical="top" indent="7"/>
    </xf>
    <xf numFmtId="4" fontId="1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vertical="center" wrapText="1"/>
    </xf>
    <xf numFmtId="4" fontId="13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10" fontId="6" fillId="0" borderId="1" xfId="0" applyNumberFormat="1" applyFont="1" applyFill="1" applyBorder="1" applyAlignment="1" applyProtection="1">
      <alignment horizontal="right" vertical="center" indent="2"/>
    </xf>
    <xf numFmtId="10" fontId="5" fillId="3" borderId="1" xfId="0" applyNumberFormat="1" applyFont="1" applyFill="1" applyBorder="1" applyAlignment="1" applyProtection="1">
      <alignment horizontal="right" vertical="center" indent="2"/>
    </xf>
    <xf numFmtId="10" fontId="5" fillId="5" borderId="1" xfId="0" applyNumberFormat="1" applyFont="1" applyFill="1" applyBorder="1" applyAlignment="1" applyProtection="1">
      <alignment horizontal="right" vertical="center" indent="2"/>
    </xf>
    <xf numFmtId="10" fontId="5" fillId="6" borderId="1" xfId="0" applyNumberFormat="1" applyFont="1" applyFill="1" applyBorder="1" applyAlignment="1" applyProtection="1">
      <alignment horizontal="right" vertical="center" indent="2"/>
    </xf>
    <xf numFmtId="10" fontId="5" fillId="7" borderId="1" xfId="0" applyNumberFormat="1" applyFont="1" applyFill="1" applyBorder="1" applyAlignment="1" applyProtection="1">
      <alignment horizontal="right" vertical="center" indent="2"/>
    </xf>
    <xf numFmtId="4" fontId="1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 applyAlignment="1" applyProtection="1">
      <alignment vertical="center" wrapText="1"/>
    </xf>
    <xf numFmtId="4" fontId="8" fillId="0" borderId="0" xfId="0" applyNumberFormat="1" applyFont="1" applyProtection="1"/>
    <xf numFmtId="0" fontId="0" fillId="0" borderId="0" xfId="0" applyAlignment="1" applyProtection="1">
      <alignment vertical="center" wrapText="1"/>
    </xf>
    <xf numFmtId="164" fontId="7" fillId="2" borderId="0" xfId="0" applyNumberFormat="1" applyFont="1" applyFill="1" applyBorder="1" applyAlignment="1" applyProtection="1">
      <alignment horizontal="center" vertical="center"/>
    </xf>
    <xf numFmtId="4" fontId="7" fillId="2" borderId="0" xfId="0" applyNumberFormat="1" applyFont="1" applyFill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1F497D"/>
      <color rgb="FFCCFFCC"/>
      <color rgb="FFECF1F8"/>
      <color rgb="FFE5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Hospodářský</a:t>
            </a:r>
            <a:r>
              <a:rPr lang="cs-CZ" sz="1600" b="1" baseline="0"/>
              <a:t> výsledek</a:t>
            </a:r>
            <a:endParaRPr lang="cs-CZ" sz="16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'Výběrové porovnání dat'!$G$38:$R$38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dat'!$G$50:$R$50</c:f>
              <c:numCache>
                <c:formatCode>#,##0.00</c:formatCode>
                <c:ptCount val="12"/>
                <c:pt idx="0">
                  <c:v>22783658.079999998</c:v>
                </c:pt>
                <c:pt idx="1">
                  <c:v>24391401.049999997</c:v>
                </c:pt>
                <c:pt idx="2">
                  <c:v>45546962.090000033</c:v>
                </c:pt>
                <c:pt idx="3">
                  <c:v>45203270.069999993</c:v>
                </c:pt>
                <c:pt idx="4">
                  <c:v>44574182.229999959</c:v>
                </c:pt>
                <c:pt idx="5">
                  <c:v>88781826.939999998</c:v>
                </c:pt>
                <c:pt idx="6">
                  <c:v>99698849.00999999</c:v>
                </c:pt>
                <c:pt idx="7">
                  <c:v>102034425.57000005</c:v>
                </c:pt>
                <c:pt idx="8">
                  <c:v>84797156.860000014</c:v>
                </c:pt>
                <c:pt idx="9">
                  <c:v>96720901.230000138</c:v>
                </c:pt>
                <c:pt idx="10">
                  <c:v>91390765.4799999</c:v>
                </c:pt>
                <c:pt idx="11">
                  <c:v>68296865.429999948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292800"/>
        <c:axId val="82275712"/>
      </c:barChart>
      <c:catAx>
        <c:axId val="10529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275712"/>
        <c:crosses val="autoZero"/>
        <c:auto val="1"/>
        <c:lblAlgn val="ctr"/>
        <c:lblOffset val="100"/>
        <c:noMultiLvlLbl val="0"/>
      </c:catAx>
      <c:valAx>
        <c:axId val="8227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5292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Provozní a kapitálové saldo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Provozní saldo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'Výběrové porovnání dat'!$G$38:$R$38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dat'!$G$51:$R$51</c:f>
              <c:numCache>
                <c:formatCode>#,##0.00</c:formatCode>
                <c:ptCount val="12"/>
                <c:pt idx="0">
                  <c:v>22670439.079999998</c:v>
                </c:pt>
                <c:pt idx="1">
                  <c:v>24152284.359999999</c:v>
                </c:pt>
                <c:pt idx="2">
                  <c:v>28833882.480000019</c:v>
                </c:pt>
                <c:pt idx="3">
                  <c:v>36790726.710000008</c:v>
                </c:pt>
                <c:pt idx="4">
                  <c:v>39939855.209999979</c:v>
                </c:pt>
                <c:pt idx="5">
                  <c:v>99884548.370000005</c:v>
                </c:pt>
                <c:pt idx="6">
                  <c:v>114955561.01000005</c:v>
                </c:pt>
                <c:pt idx="7">
                  <c:v>118214495.43000007</c:v>
                </c:pt>
                <c:pt idx="8">
                  <c:v>116764498.13000005</c:v>
                </c:pt>
                <c:pt idx="9">
                  <c:v>118171592.93000019</c:v>
                </c:pt>
                <c:pt idx="10">
                  <c:v>120972213.60000002</c:v>
                </c:pt>
                <c:pt idx="11">
                  <c:v>129540223.72000003</c:v>
                </c:pt>
              </c:numCache>
            </c:numRef>
          </c:val>
        </c:ser>
        <c:ser>
          <c:idx val="1"/>
          <c:order val="1"/>
          <c:tx>
            <c:v>Kapitálové saldo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'Výběrové porovnání dat'!$G$52:$R$52</c:f>
              <c:numCache>
                <c:formatCode>#,##0.00</c:formatCode>
                <c:ptCount val="12"/>
                <c:pt idx="0">
                  <c:v>113219</c:v>
                </c:pt>
                <c:pt idx="1">
                  <c:v>239116.69</c:v>
                </c:pt>
                <c:pt idx="2">
                  <c:v>16713079.609999998</c:v>
                </c:pt>
                <c:pt idx="3">
                  <c:v>8412543.3599999975</c:v>
                </c:pt>
                <c:pt idx="4">
                  <c:v>4634327.0199999977</c:v>
                </c:pt>
                <c:pt idx="5">
                  <c:v>-11102721.43</c:v>
                </c:pt>
                <c:pt idx="6">
                  <c:v>-15256711.999999996</c:v>
                </c:pt>
                <c:pt idx="7">
                  <c:v>-16180069.859999996</c:v>
                </c:pt>
                <c:pt idx="8">
                  <c:v>-31967341.269999996</c:v>
                </c:pt>
                <c:pt idx="9">
                  <c:v>-21450691.699999996</c:v>
                </c:pt>
                <c:pt idx="10">
                  <c:v>-29581448.119999997</c:v>
                </c:pt>
                <c:pt idx="11">
                  <c:v>-61243358.289999999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293312"/>
        <c:axId val="82277440"/>
      </c:barChart>
      <c:catAx>
        <c:axId val="10529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277440"/>
        <c:crosses val="autoZero"/>
        <c:auto val="1"/>
        <c:lblAlgn val="ctr"/>
        <c:lblOffset val="100"/>
        <c:noMultiLvlLbl val="0"/>
      </c:catAx>
      <c:valAx>
        <c:axId val="8227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5293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Kapitálové výdaje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'Výběrové porovnání dat'!$G$38:$R$38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dat'!$G$46:$R$46</c:f>
              <c:numCache>
                <c:formatCode>#,##0.00</c:formatCode>
                <c:ptCount val="12"/>
                <c:pt idx="0">
                  <c:v>19179</c:v>
                </c:pt>
                <c:pt idx="1">
                  <c:v>61160.31</c:v>
                </c:pt>
                <c:pt idx="2">
                  <c:v>3771158.97</c:v>
                </c:pt>
                <c:pt idx="3">
                  <c:v>12228753.220000001</c:v>
                </c:pt>
                <c:pt idx="4">
                  <c:v>16038769.560000001</c:v>
                </c:pt>
                <c:pt idx="5">
                  <c:v>33301628.23</c:v>
                </c:pt>
                <c:pt idx="6">
                  <c:v>37616894.799999997</c:v>
                </c:pt>
                <c:pt idx="7">
                  <c:v>40222373.659999996</c:v>
                </c:pt>
                <c:pt idx="8">
                  <c:v>57821521.369999997</c:v>
                </c:pt>
                <c:pt idx="9">
                  <c:v>67128235.799999997</c:v>
                </c:pt>
                <c:pt idx="10">
                  <c:v>76857443.219999999</c:v>
                </c:pt>
                <c:pt idx="11">
                  <c:v>109015475.39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5293824"/>
        <c:axId val="82279168"/>
      </c:barChart>
      <c:catAx>
        <c:axId val="10529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279168"/>
        <c:crosses val="autoZero"/>
        <c:auto val="1"/>
        <c:lblAlgn val="ctr"/>
        <c:lblOffset val="100"/>
        <c:noMultiLvlLbl val="0"/>
      </c:catAx>
      <c:valAx>
        <c:axId val="8227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5293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Vývoj příjmů a výdajů rozpočtu města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Příjmy rozpočtu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'Výběrové porovnání dat'!$G$38:$R$38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dat'!$G$44:$R$44</c:f>
              <c:numCache>
                <c:formatCode>#,##0.00</c:formatCode>
                <c:ptCount val="12"/>
                <c:pt idx="0">
                  <c:v>61154875.960000001</c:v>
                </c:pt>
                <c:pt idx="1">
                  <c:v>118150265.37</c:v>
                </c:pt>
                <c:pt idx="2">
                  <c:v>211022002.29000002</c:v>
                </c:pt>
                <c:pt idx="3">
                  <c:v>276048871.26999998</c:v>
                </c:pt>
                <c:pt idx="4">
                  <c:v>335452855.57999998</c:v>
                </c:pt>
                <c:pt idx="5">
                  <c:v>468079700.69999999</c:v>
                </c:pt>
                <c:pt idx="6">
                  <c:v>546479863.76999998</c:v>
                </c:pt>
                <c:pt idx="7">
                  <c:v>603219860.63</c:v>
                </c:pt>
                <c:pt idx="8">
                  <c:v>668395948.03999996</c:v>
                </c:pt>
                <c:pt idx="9">
                  <c:v>741498165.30000019</c:v>
                </c:pt>
                <c:pt idx="10">
                  <c:v>802085660.96999991</c:v>
                </c:pt>
                <c:pt idx="11">
                  <c:v>902629331.78999996</c:v>
                </c:pt>
              </c:numCache>
            </c:numRef>
          </c:val>
          <c:smooth val="0"/>
        </c:ser>
        <c:ser>
          <c:idx val="1"/>
          <c:order val="1"/>
          <c:tx>
            <c:v>Výdaje rozpočtu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'Výběrové porovnání dat'!$G$38:$R$38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dat'!$G$47:$R$47</c:f>
              <c:numCache>
                <c:formatCode>#,##0.00</c:formatCode>
                <c:ptCount val="12"/>
                <c:pt idx="0">
                  <c:v>38371217.880000003</c:v>
                </c:pt>
                <c:pt idx="1">
                  <c:v>93758864.320000008</c:v>
                </c:pt>
                <c:pt idx="2">
                  <c:v>165475040.19999999</c:v>
                </c:pt>
                <c:pt idx="3">
                  <c:v>230845601.19999999</c:v>
                </c:pt>
                <c:pt idx="4">
                  <c:v>290878673.35000002</c:v>
                </c:pt>
                <c:pt idx="5">
                  <c:v>379297873.75999999</c:v>
                </c:pt>
                <c:pt idx="6">
                  <c:v>446781014.75999999</c:v>
                </c:pt>
                <c:pt idx="7">
                  <c:v>501185435.05999994</c:v>
                </c:pt>
                <c:pt idx="8">
                  <c:v>583598791.17999995</c:v>
                </c:pt>
                <c:pt idx="9">
                  <c:v>644777264.07000005</c:v>
                </c:pt>
                <c:pt idx="10">
                  <c:v>710694895.49000001</c:v>
                </c:pt>
                <c:pt idx="11">
                  <c:v>834332466.36000001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295360"/>
        <c:axId val="105431616"/>
      </c:lineChart>
      <c:catAx>
        <c:axId val="10529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5431616"/>
        <c:crosses val="autoZero"/>
        <c:auto val="1"/>
        <c:lblAlgn val="ctr"/>
        <c:lblOffset val="100"/>
        <c:noMultiLvlLbl val="0"/>
      </c:catAx>
      <c:valAx>
        <c:axId val="10543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529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Struktura</a:t>
            </a:r>
            <a:r>
              <a:rPr lang="cs-CZ" sz="1600" b="1" baseline="0"/>
              <a:t> příjmů</a:t>
            </a:r>
            <a:endParaRPr lang="cs-CZ" sz="16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5875745975242003E-2"/>
          <c:y val="0.20306010101010097"/>
          <c:w val="0.525173919449197"/>
          <c:h val="0.7579217171717171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1634926811924125"/>
                  <c:y val="-0.148253535353535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6.9844716630273942E-3"/>
                  <c:y val="4.130218436366702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4044797759442643E-3"/>
                  <c:y val="-3.922746057181411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'Výběrové porovnání dat'!$E$39:$E$43</c:f>
              <c:strCache>
                <c:ptCount val="5"/>
                <c:pt idx="0">
                  <c:v>DAŇOVÉ PŘÍJMY</c:v>
                </c:pt>
                <c:pt idx="1">
                  <c:v>NEDAŇOVÉ PŘÍJMY</c:v>
                </c:pt>
                <c:pt idx="2">
                  <c:v>KAPITÁLOVÉ PŘÍJMY</c:v>
                </c:pt>
                <c:pt idx="3">
                  <c:v>PROVOZNÍ DOTACE</c:v>
                </c:pt>
                <c:pt idx="4">
                  <c:v>KAPITÁLOVÉ TRANSFERY</c:v>
                </c:pt>
              </c:strCache>
            </c:strRef>
          </c:cat>
          <c:val>
            <c:numRef>
              <c:f>'Výběrové porovnání dat'!$S$39:$S$43</c:f>
              <c:numCache>
                <c:formatCode>#,##0.00</c:formatCode>
                <c:ptCount val="5"/>
                <c:pt idx="0">
                  <c:v>673515918.44000006</c:v>
                </c:pt>
                <c:pt idx="1">
                  <c:v>93189865.579999998</c:v>
                </c:pt>
                <c:pt idx="2">
                  <c:v>26583660.300000001</c:v>
                </c:pt>
                <c:pt idx="3">
                  <c:v>88151430.670000002</c:v>
                </c:pt>
                <c:pt idx="4">
                  <c:v>21188456.800000001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4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Struktura</a:t>
            </a:r>
            <a:r>
              <a:rPr lang="cs-CZ" sz="1600" b="1" baseline="0"/>
              <a:t> výdajů</a:t>
            </a:r>
            <a:endParaRPr lang="cs-CZ" sz="1600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5875745975242003E-2"/>
          <c:y val="0.20306010101010097"/>
          <c:w val="0.525173919449197"/>
          <c:h val="0.7579217171717171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.1634926811924125"/>
                  <c:y val="-0.148253535353535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'Výběrové porovnání dat'!$E$45:$E$46</c:f>
              <c:strCache>
                <c:ptCount val="2"/>
                <c:pt idx="0">
                  <c:v>BĚŽNÉ VÝDAJE</c:v>
                </c:pt>
                <c:pt idx="1">
                  <c:v>KAPITÁLOVÉ VÝDAJE</c:v>
                </c:pt>
              </c:strCache>
            </c:strRef>
          </c:cat>
          <c:val>
            <c:numRef>
              <c:f>'Výběrové porovnání dat'!$S$45:$S$46</c:f>
              <c:numCache>
                <c:formatCode>#,##0.00</c:formatCode>
                <c:ptCount val="2"/>
                <c:pt idx="0">
                  <c:v>725316990.97000003</c:v>
                </c:pt>
                <c:pt idx="1">
                  <c:v>109015475.39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104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>
          <a:glow rad="38100">
            <a:schemeClr val="accent1">
              <a:alpha val="40000"/>
            </a:schemeClr>
          </a:glo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13281</xdr:rowOff>
    </xdr:from>
    <xdr:to>
      <xdr:col>5</xdr:col>
      <xdr:colOff>904875</xdr:colOff>
      <xdr:row>10</xdr:row>
      <xdr:rowOff>59531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330781"/>
          <a:ext cx="2778125" cy="1570250"/>
        </a:xfrm>
        <a:prstGeom prst="rect">
          <a:avLst/>
        </a:prstGeom>
      </xdr:spPr>
    </xdr:pic>
    <xdr:clientData/>
  </xdr:twoCellAnchor>
  <xdr:twoCellAnchor>
    <xdr:from>
      <xdr:col>6</xdr:col>
      <xdr:colOff>26458</xdr:colOff>
      <xdr:row>6</xdr:row>
      <xdr:rowOff>147107</xdr:rowOff>
    </xdr:from>
    <xdr:to>
      <xdr:col>10</xdr:col>
      <xdr:colOff>746125</xdr:colOff>
      <xdr:row>18</xdr:row>
      <xdr:rowOff>134036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31751</xdr:colOff>
      <xdr:row>6</xdr:row>
      <xdr:rowOff>147107</xdr:rowOff>
    </xdr:from>
    <xdr:to>
      <xdr:col>15</xdr:col>
      <xdr:colOff>751417</xdr:colOff>
      <xdr:row>18</xdr:row>
      <xdr:rowOff>134036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42332</xdr:colOff>
      <xdr:row>19</xdr:row>
      <xdr:rowOff>312963</xdr:rowOff>
    </xdr:from>
    <xdr:to>
      <xdr:col>10</xdr:col>
      <xdr:colOff>761999</xdr:colOff>
      <xdr:row>33</xdr:row>
      <xdr:rowOff>90288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21166</xdr:colOff>
      <xdr:row>19</xdr:row>
      <xdr:rowOff>312963</xdr:rowOff>
    </xdr:from>
    <xdr:to>
      <xdr:col>15</xdr:col>
      <xdr:colOff>740832</xdr:colOff>
      <xdr:row>33</xdr:row>
      <xdr:rowOff>90288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963080</xdr:colOff>
      <xdr:row>6</xdr:row>
      <xdr:rowOff>147107</xdr:rowOff>
    </xdr:from>
    <xdr:to>
      <xdr:col>19</xdr:col>
      <xdr:colOff>833436</xdr:colOff>
      <xdr:row>18</xdr:row>
      <xdr:rowOff>134036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40821</xdr:colOff>
      <xdr:row>19</xdr:row>
      <xdr:rowOff>312963</xdr:rowOff>
    </xdr:from>
    <xdr:to>
      <xdr:col>19</xdr:col>
      <xdr:colOff>874258</xdr:colOff>
      <xdr:row>33</xdr:row>
      <xdr:rowOff>90288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5"/>
  <sheetViews>
    <sheetView showGridLines="0" tabSelected="1" topLeftCell="J7" zoomScaleNormal="100" workbookViewId="0">
      <selection activeCell="R62" sqref="R62"/>
    </sheetView>
  </sheetViews>
  <sheetFormatPr defaultColWidth="0" defaultRowHeight="12.6" zeroHeight="1" x14ac:dyDescent="0.25"/>
  <cols>
    <col min="1" max="1" width="2.625" style="1" customWidth="1"/>
    <col min="2" max="2" width="2.125" style="1" customWidth="1"/>
    <col min="3" max="3" width="6.375" style="3" hidden="1" customWidth="1"/>
    <col min="4" max="4" width="7.125" style="3" hidden="1" customWidth="1"/>
    <col min="5" max="5" width="32.625" style="3" customWidth="1"/>
    <col min="6" max="6" width="19.5" style="3" customWidth="1"/>
    <col min="7" max="12" width="16.875" style="4" customWidth="1"/>
    <col min="13" max="19" width="16.875" style="1" customWidth="1"/>
    <col min="20" max="20" width="18.375" style="1" customWidth="1"/>
    <col min="21" max="21" width="2.125" style="1" customWidth="1"/>
    <col min="22" max="22" width="2.625" style="1" customWidth="1"/>
    <col min="23" max="16384" width="9.375" style="1" hidden="1"/>
  </cols>
  <sheetData>
    <row r="1" spans="2:21" x14ac:dyDescent="0.25"/>
    <row r="2" spans="2:21" x14ac:dyDescent="0.25">
      <c r="B2" s="5"/>
      <c r="C2" s="6"/>
      <c r="D2" s="6"/>
      <c r="E2" s="6"/>
      <c r="F2" s="6"/>
      <c r="G2" s="7"/>
      <c r="H2" s="7"/>
      <c r="I2" s="7"/>
      <c r="J2" s="7"/>
      <c r="K2" s="7"/>
      <c r="L2" s="7"/>
      <c r="M2" s="5"/>
      <c r="N2" s="5"/>
      <c r="O2" s="5"/>
      <c r="P2" s="5"/>
      <c r="Q2" s="5"/>
      <c r="R2" s="5"/>
      <c r="S2" s="5"/>
      <c r="T2" s="5"/>
      <c r="U2" s="5"/>
    </row>
    <row r="3" spans="2:21" x14ac:dyDescent="0.25">
      <c r="B3" s="5"/>
      <c r="C3" s="6"/>
      <c r="D3" s="6"/>
      <c r="E3" s="6"/>
      <c r="F3" s="6"/>
      <c r="G3" s="7"/>
      <c r="H3" s="7"/>
      <c r="I3" s="7"/>
      <c r="J3" s="7"/>
      <c r="K3" s="7"/>
      <c r="L3" s="7"/>
      <c r="M3" s="5"/>
      <c r="N3" s="5"/>
      <c r="O3" s="5"/>
      <c r="P3" s="5"/>
      <c r="Q3" s="5"/>
      <c r="R3" s="5"/>
      <c r="S3" s="5"/>
      <c r="T3" s="5"/>
      <c r="U3" s="5"/>
    </row>
    <row r="4" spans="2:21" ht="8.25" customHeight="1" x14ac:dyDescent="0.25">
      <c r="B4" s="5"/>
      <c r="C4" s="6"/>
      <c r="D4" s="6"/>
      <c r="E4" s="6"/>
      <c r="F4" s="6"/>
      <c r="G4" s="7"/>
      <c r="H4" s="7"/>
      <c r="I4" s="7"/>
      <c r="J4" s="7"/>
      <c r="K4" s="7"/>
      <c r="L4" s="7"/>
      <c r="M4" s="5"/>
      <c r="N4" s="5"/>
      <c r="O4" s="5"/>
      <c r="P4" s="5"/>
      <c r="Q4" s="5"/>
      <c r="R4" s="5"/>
      <c r="S4" s="5"/>
      <c r="T4" s="5"/>
      <c r="U4" s="5"/>
    </row>
    <row r="5" spans="2:21" ht="36.6" x14ac:dyDescent="0.25">
      <c r="B5" s="5"/>
      <c r="C5" s="6"/>
      <c r="D5" s="6"/>
      <c r="E5" s="5"/>
      <c r="F5" s="5"/>
      <c r="G5" s="13" t="s">
        <v>59</v>
      </c>
      <c r="H5" s="7"/>
      <c r="I5" s="7"/>
      <c r="J5" s="7"/>
      <c r="K5" s="7"/>
      <c r="L5" s="7"/>
      <c r="M5" s="5"/>
      <c r="N5" s="5"/>
      <c r="O5" s="5"/>
      <c r="P5" s="5"/>
      <c r="Q5" s="5"/>
      <c r="R5" s="5"/>
      <c r="S5" s="5"/>
      <c r="T5" s="5"/>
      <c r="U5" s="5"/>
    </row>
    <row r="6" spans="2:21" ht="12" customHeight="1" x14ac:dyDescent="0.25">
      <c r="B6" s="5"/>
      <c r="C6" s="6"/>
      <c r="D6" s="6"/>
      <c r="E6" s="5"/>
      <c r="F6" s="5"/>
      <c r="G6" s="12"/>
      <c r="H6" s="7"/>
      <c r="I6" s="7"/>
      <c r="J6" s="7"/>
      <c r="K6" s="7"/>
      <c r="L6" s="7"/>
      <c r="M6" s="5"/>
      <c r="N6" s="5"/>
      <c r="O6" s="5"/>
      <c r="P6" s="5"/>
      <c r="Q6" s="5"/>
      <c r="R6" s="5"/>
      <c r="S6" s="5"/>
      <c r="T6" s="5"/>
      <c r="U6" s="5"/>
    </row>
    <row r="7" spans="2:21" x14ac:dyDescent="0.25">
      <c r="B7" s="5"/>
      <c r="C7" s="6"/>
      <c r="D7" s="6"/>
      <c r="E7" s="6"/>
      <c r="F7" s="6"/>
      <c r="G7" s="7"/>
      <c r="H7" s="7"/>
      <c r="I7" s="7"/>
      <c r="J7" s="7"/>
      <c r="K7" s="7"/>
      <c r="L7" s="7"/>
      <c r="M7" s="5"/>
      <c r="N7" s="5"/>
      <c r="O7" s="5"/>
      <c r="P7" s="5"/>
      <c r="Q7" s="5"/>
      <c r="R7" s="5"/>
      <c r="S7" s="5"/>
      <c r="T7" s="5"/>
      <c r="U7" s="5"/>
    </row>
    <row r="8" spans="2:21" x14ac:dyDescent="0.25">
      <c r="B8" s="5"/>
      <c r="C8" s="6"/>
      <c r="D8" s="6"/>
      <c r="E8" s="6"/>
      <c r="F8" s="6"/>
      <c r="G8" s="7"/>
      <c r="H8" s="7"/>
      <c r="I8" s="7"/>
      <c r="J8" s="7"/>
      <c r="K8" s="7"/>
      <c r="L8" s="7"/>
      <c r="M8" s="5"/>
      <c r="N8" s="5"/>
      <c r="O8" s="5"/>
      <c r="P8" s="5"/>
      <c r="Q8" s="5"/>
      <c r="R8" s="5"/>
      <c r="S8" s="5"/>
      <c r="T8" s="5"/>
      <c r="U8" s="5"/>
    </row>
    <row r="9" spans="2:21" x14ac:dyDescent="0.25">
      <c r="B9" s="5"/>
      <c r="C9" s="6"/>
      <c r="D9" s="6"/>
      <c r="E9" s="6"/>
      <c r="F9" s="6"/>
      <c r="G9" s="7"/>
      <c r="H9" s="7"/>
      <c r="I9" s="7"/>
      <c r="J9" s="7"/>
      <c r="K9" s="7"/>
      <c r="L9" s="7"/>
      <c r="M9" s="5"/>
      <c r="N9" s="5"/>
      <c r="O9" s="5"/>
      <c r="P9" s="5"/>
      <c r="Q9" s="5"/>
      <c r="R9" s="5"/>
      <c r="S9" s="5"/>
      <c r="T9" s="5"/>
      <c r="U9" s="5"/>
    </row>
    <row r="10" spans="2:21" x14ac:dyDescent="0.25">
      <c r="B10" s="5"/>
      <c r="C10" s="6"/>
      <c r="D10" s="6"/>
      <c r="E10" s="6"/>
      <c r="F10" s="26"/>
      <c r="G10" s="7"/>
      <c r="H10" s="7"/>
      <c r="I10" s="7"/>
      <c r="J10" s="7"/>
      <c r="K10" s="7"/>
      <c r="L10" s="7"/>
      <c r="M10" s="5"/>
      <c r="N10" s="5"/>
      <c r="O10" s="5"/>
      <c r="P10" s="5"/>
      <c r="Q10" s="5"/>
      <c r="R10" s="5"/>
      <c r="S10" s="5"/>
      <c r="T10" s="5"/>
      <c r="U10" s="5"/>
    </row>
    <row r="11" spans="2:21" ht="21" x14ac:dyDescent="0.4">
      <c r="B11" s="5"/>
      <c r="C11" s="6"/>
      <c r="D11" s="6"/>
      <c r="E11" s="26"/>
      <c r="F11" s="19"/>
      <c r="G11" s="7"/>
      <c r="H11" s="7"/>
      <c r="I11" s="7"/>
      <c r="J11" s="7"/>
      <c r="K11" s="7"/>
      <c r="L11" s="7"/>
      <c r="M11" s="5"/>
      <c r="N11" s="5"/>
      <c r="O11" s="5"/>
      <c r="P11" s="5"/>
      <c r="Q11" s="5"/>
      <c r="R11" s="5"/>
      <c r="S11" s="5"/>
      <c r="T11" s="5"/>
      <c r="U11" s="5"/>
    </row>
    <row r="12" spans="2:21" ht="21" x14ac:dyDescent="0.4">
      <c r="B12" s="5"/>
      <c r="C12" s="6"/>
      <c r="D12" s="6"/>
      <c r="E12" s="19" t="s">
        <v>38</v>
      </c>
      <c r="F12" s="19"/>
      <c r="G12" s="7"/>
      <c r="H12" s="7"/>
      <c r="I12" s="7"/>
      <c r="J12" s="7"/>
      <c r="K12" s="7"/>
      <c r="L12" s="7"/>
      <c r="M12" s="5"/>
      <c r="N12" s="5"/>
      <c r="O12" s="5"/>
      <c r="P12" s="5"/>
      <c r="Q12" s="5"/>
      <c r="R12" s="5"/>
      <c r="S12" s="5"/>
      <c r="T12" s="5"/>
      <c r="U12" s="5"/>
    </row>
    <row r="13" spans="2:21" ht="21" x14ac:dyDescent="0.25">
      <c r="B13" s="5"/>
      <c r="C13" s="6"/>
      <c r="D13" s="6"/>
      <c r="E13" s="20"/>
      <c r="F13" s="20"/>
      <c r="G13" s="7"/>
      <c r="H13" s="7"/>
      <c r="I13" s="7"/>
      <c r="J13" s="7"/>
      <c r="K13" s="7"/>
      <c r="L13" s="7"/>
      <c r="M13" s="5"/>
      <c r="N13" s="5"/>
      <c r="O13" s="5"/>
      <c r="P13" s="5"/>
      <c r="Q13" s="5"/>
      <c r="R13" s="5"/>
      <c r="S13" s="5"/>
      <c r="T13" s="5"/>
      <c r="U13" s="5"/>
    </row>
    <row r="14" spans="2:21" ht="21" x14ac:dyDescent="0.25">
      <c r="B14" s="5"/>
      <c r="C14" s="6"/>
      <c r="D14" s="6"/>
      <c r="E14" s="21" t="s">
        <v>44</v>
      </c>
      <c r="F14" s="21"/>
      <c r="G14" s="7"/>
      <c r="H14" s="7"/>
      <c r="I14" s="7"/>
      <c r="J14" s="7"/>
      <c r="K14" s="7"/>
      <c r="L14" s="7"/>
      <c r="M14" s="5"/>
      <c r="N14" s="5"/>
      <c r="O14" s="5"/>
      <c r="P14" s="5"/>
      <c r="Q14" s="5"/>
      <c r="R14" s="5"/>
      <c r="S14" s="5"/>
      <c r="T14" s="5"/>
      <c r="U14" s="5"/>
    </row>
    <row r="15" spans="2:21" ht="21" customHeight="1" x14ac:dyDescent="0.25">
      <c r="B15" s="5"/>
      <c r="C15" s="6"/>
      <c r="D15" s="6"/>
      <c r="E15" s="74">
        <f>INDEX(G50:R50,COUNTA(G50:R50))</f>
        <v>68296865.429999948</v>
      </c>
      <c r="F15" s="74"/>
      <c r="G15" s="7"/>
      <c r="H15" s="7"/>
      <c r="I15" s="7"/>
      <c r="J15" s="7"/>
      <c r="K15" s="7"/>
      <c r="L15" s="7"/>
      <c r="M15" s="5"/>
      <c r="N15" s="5"/>
      <c r="O15" s="5"/>
      <c r="P15" s="5"/>
      <c r="Q15" s="5"/>
      <c r="R15" s="5"/>
      <c r="S15" s="5"/>
      <c r="T15" s="5"/>
      <c r="U15" s="5"/>
    </row>
    <row r="16" spans="2:21" ht="21" customHeight="1" x14ac:dyDescent="0.25">
      <c r="B16" s="5"/>
      <c r="C16" s="6"/>
      <c r="D16" s="6"/>
      <c r="E16" s="74"/>
      <c r="F16" s="74"/>
      <c r="G16" s="7"/>
      <c r="H16" s="7"/>
      <c r="I16" s="7"/>
      <c r="J16" s="7"/>
      <c r="K16" s="7"/>
      <c r="L16" s="7"/>
      <c r="M16" s="5"/>
      <c r="N16" s="5"/>
      <c r="O16" s="5"/>
      <c r="P16" s="5"/>
      <c r="Q16" s="5"/>
      <c r="R16" s="5"/>
      <c r="S16" s="5"/>
      <c r="T16" s="5"/>
      <c r="U16" s="5"/>
    </row>
    <row r="17" spans="2:21" ht="21" x14ac:dyDescent="0.25">
      <c r="B17" s="5"/>
      <c r="C17" s="6"/>
      <c r="D17" s="6"/>
      <c r="E17" s="24"/>
      <c r="F17" s="24"/>
      <c r="G17" s="7"/>
      <c r="H17" s="7"/>
      <c r="I17" s="7"/>
      <c r="J17" s="7"/>
      <c r="K17" s="7"/>
      <c r="L17" s="7"/>
      <c r="M17" s="5"/>
      <c r="N17" s="5"/>
      <c r="O17" s="5"/>
      <c r="P17" s="5"/>
      <c r="Q17" s="5"/>
      <c r="R17" s="5"/>
      <c r="S17" s="5"/>
      <c r="T17" s="5"/>
      <c r="U17" s="5"/>
    </row>
    <row r="18" spans="2:21" ht="18.75" customHeight="1" x14ac:dyDescent="0.25">
      <c r="B18" s="5"/>
      <c r="C18" s="6"/>
      <c r="D18" s="6"/>
      <c r="E18" s="22" t="s">
        <v>39</v>
      </c>
      <c r="F18" s="22"/>
      <c r="G18" s="7"/>
      <c r="H18" s="7"/>
      <c r="I18" s="7"/>
      <c r="J18" s="7"/>
      <c r="K18" s="7"/>
      <c r="L18" s="7"/>
      <c r="M18" s="5"/>
      <c r="N18" s="5"/>
      <c r="O18" s="5"/>
      <c r="P18" s="5"/>
      <c r="Q18" s="5"/>
      <c r="R18" s="5"/>
      <c r="S18" s="5"/>
      <c r="T18" s="5"/>
      <c r="U18" s="5"/>
    </row>
    <row r="19" spans="2:21" ht="10.5" customHeight="1" x14ac:dyDescent="0.25">
      <c r="B19" s="5"/>
      <c r="C19" s="6"/>
      <c r="D19" s="6"/>
      <c r="E19" s="74">
        <f>INDEX(G51:R51,COUNTA(G51:R51))</f>
        <v>129540223.72000003</v>
      </c>
      <c r="F19" s="74"/>
      <c r="G19" s="7"/>
      <c r="H19" s="7"/>
      <c r="I19" s="7"/>
      <c r="J19" s="7"/>
      <c r="K19" s="7"/>
      <c r="L19" s="7"/>
      <c r="M19" s="5"/>
      <c r="N19" s="5"/>
      <c r="O19" s="5"/>
      <c r="P19" s="5"/>
      <c r="Q19" s="56"/>
      <c r="R19" s="56"/>
      <c r="S19" s="56"/>
      <c r="T19" s="56"/>
      <c r="U19" s="5"/>
    </row>
    <row r="20" spans="2:21" ht="33.75" customHeight="1" x14ac:dyDescent="0.25">
      <c r="B20" s="5"/>
      <c r="C20" s="6"/>
      <c r="D20" s="6"/>
      <c r="E20" s="74"/>
      <c r="F20" s="74"/>
      <c r="G20" s="7"/>
      <c r="H20" s="7"/>
      <c r="I20" s="7"/>
      <c r="J20" s="7"/>
      <c r="K20" s="7"/>
      <c r="L20" s="7"/>
      <c r="M20" s="5"/>
      <c r="N20" s="5"/>
      <c r="O20" s="5"/>
      <c r="P20" s="5"/>
      <c r="Q20" s="59" t="s">
        <v>54</v>
      </c>
      <c r="R20" s="56"/>
      <c r="S20" s="58">
        <f>T44</f>
        <v>1.0464884205865617</v>
      </c>
      <c r="T20" s="56"/>
      <c r="U20" s="5"/>
    </row>
    <row r="21" spans="2:21" ht="11.25" customHeight="1" x14ac:dyDescent="0.25">
      <c r="B21" s="5"/>
      <c r="C21" s="6"/>
      <c r="D21" s="6"/>
      <c r="E21" s="24"/>
      <c r="F21" s="24"/>
      <c r="G21" s="7"/>
      <c r="H21" s="7"/>
      <c r="I21" s="7"/>
      <c r="J21" s="7"/>
      <c r="K21" s="7"/>
      <c r="L21" s="7"/>
      <c r="M21" s="5"/>
      <c r="N21" s="5"/>
      <c r="O21" s="5"/>
      <c r="P21" s="5"/>
      <c r="Q21" s="5"/>
      <c r="R21" s="5"/>
      <c r="S21" s="5"/>
      <c r="T21" s="5"/>
      <c r="U21" s="5"/>
    </row>
    <row r="22" spans="2:21" ht="21" x14ac:dyDescent="0.25">
      <c r="B22" s="5"/>
      <c r="C22" s="6"/>
      <c r="D22" s="6"/>
      <c r="E22" s="24"/>
      <c r="F22" s="24"/>
      <c r="G22" s="7"/>
      <c r="H22" s="7"/>
      <c r="I22" s="7"/>
      <c r="J22" s="7"/>
      <c r="K22" s="7"/>
      <c r="L22" s="7"/>
      <c r="M22" s="5"/>
      <c r="N22" s="5"/>
      <c r="O22" s="5"/>
      <c r="P22" s="5"/>
      <c r="Q22" s="5"/>
      <c r="R22" s="5"/>
      <c r="S22" s="5"/>
      <c r="T22" s="5"/>
      <c r="U22" s="5"/>
    </row>
    <row r="23" spans="2:21" ht="18.75" customHeight="1" x14ac:dyDescent="0.25">
      <c r="B23" s="5"/>
      <c r="C23" s="6"/>
      <c r="D23" s="6"/>
      <c r="E23" s="21" t="s">
        <v>40</v>
      </c>
      <c r="F23" s="21"/>
      <c r="G23" s="7"/>
      <c r="H23" s="7"/>
      <c r="I23" s="7"/>
      <c r="J23" s="7"/>
      <c r="K23" s="7"/>
      <c r="L23" s="7"/>
      <c r="M23" s="5"/>
      <c r="N23" s="5"/>
      <c r="O23" s="5"/>
      <c r="P23" s="5"/>
      <c r="Q23" s="5"/>
      <c r="R23" s="5"/>
      <c r="S23" s="5"/>
      <c r="T23" s="5"/>
      <c r="U23" s="5"/>
    </row>
    <row r="24" spans="2:21" ht="18.75" customHeight="1" x14ac:dyDescent="0.25">
      <c r="B24" s="5"/>
      <c r="C24" s="6"/>
      <c r="D24" s="6"/>
      <c r="E24" s="75">
        <f>S44/S47</f>
        <v>1.0818580939657825</v>
      </c>
      <c r="F24" s="75"/>
      <c r="G24" s="7"/>
      <c r="H24" s="7"/>
      <c r="I24" s="7"/>
      <c r="J24" s="7"/>
      <c r="K24" s="7"/>
      <c r="L24" s="7"/>
      <c r="M24" s="5"/>
      <c r="N24" s="5"/>
      <c r="O24" s="5"/>
      <c r="P24" s="5"/>
      <c r="Q24" s="5"/>
      <c r="R24" s="5"/>
      <c r="S24" s="5"/>
      <c r="T24" s="5"/>
      <c r="U24" s="5"/>
    </row>
    <row r="25" spans="2:21" ht="21" customHeight="1" x14ac:dyDescent="0.25">
      <c r="B25" s="5"/>
      <c r="C25" s="6"/>
      <c r="D25" s="6"/>
      <c r="E25" s="75"/>
      <c r="F25" s="75"/>
      <c r="G25" s="7"/>
      <c r="H25" s="7"/>
      <c r="I25" s="7"/>
      <c r="J25" s="7"/>
      <c r="K25" s="7"/>
      <c r="L25" s="7"/>
      <c r="M25" s="5"/>
      <c r="N25" s="5"/>
      <c r="O25" s="5"/>
      <c r="P25" s="5"/>
      <c r="Q25" s="5"/>
      <c r="R25" s="5"/>
      <c r="S25" s="5"/>
      <c r="T25" s="5"/>
      <c r="U25" s="5"/>
    </row>
    <row r="26" spans="2:21" ht="12.75" customHeight="1" x14ac:dyDescent="0.25">
      <c r="B26" s="5"/>
      <c r="C26" s="6"/>
      <c r="D26" s="6"/>
      <c r="E26" s="25"/>
      <c r="F26" s="25"/>
      <c r="G26" s="7"/>
      <c r="H26" s="7"/>
      <c r="I26" s="7"/>
      <c r="J26" s="7"/>
      <c r="K26" s="7"/>
      <c r="L26" s="7"/>
      <c r="M26" s="5"/>
      <c r="N26" s="5"/>
      <c r="O26" s="5"/>
      <c r="P26" s="5"/>
      <c r="Q26" s="5"/>
      <c r="R26" s="5"/>
      <c r="S26" s="5"/>
      <c r="T26" s="5"/>
      <c r="U26" s="5"/>
    </row>
    <row r="27" spans="2:21" ht="21" x14ac:dyDescent="0.25">
      <c r="B27" s="5"/>
      <c r="C27" s="6"/>
      <c r="D27" s="6"/>
      <c r="E27" s="21" t="s">
        <v>41</v>
      </c>
      <c r="F27" s="21"/>
      <c r="G27" s="7"/>
      <c r="H27" s="7"/>
      <c r="I27" s="7"/>
      <c r="J27" s="7"/>
      <c r="K27" s="7"/>
      <c r="L27" s="7"/>
      <c r="M27" s="5"/>
      <c r="N27" s="5"/>
      <c r="O27" s="5"/>
      <c r="P27" s="5"/>
      <c r="Q27" s="5"/>
      <c r="R27" s="5"/>
      <c r="S27" s="5"/>
      <c r="T27" s="5"/>
      <c r="U27" s="5"/>
    </row>
    <row r="28" spans="2:21" ht="12.75" customHeight="1" x14ac:dyDescent="0.25">
      <c r="B28" s="5"/>
      <c r="C28" s="6"/>
      <c r="D28" s="6"/>
      <c r="E28" s="21"/>
      <c r="F28" s="23"/>
      <c r="G28" s="7"/>
      <c r="H28" s="7"/>
      <c r="I28" s="7"/>
      <c r="J28" s="7"/>
      <c r="K28" s="7"/>
      <c r="L28" s="7"/>
      <c r="M28" s="5"/>
      <c r="N28" s="5"/>
      <c r="O28" s="5"/>
      <c r="P28" s="5"/>
      <c r="Q28" s="5"/>
      <c r="R28" s="5"/>
      <c r="S28" s="5"/>
      <c r="T28" s="5"/>
      <c r="U28" s="5"/>
    </row>
    <row r="29" spans="2:21" ht="12.75" customHeight="1" x14ac:dyDescent="0.25">
      <c r="B29" s="5"/>
      <c r="C29" s="6"/>
      <c r="D29" s="6"/>
      <c r="E29" s="27">
        <f>S50/S49</f>
        <v>7.9892716884616438E-2</v>
      </c>
      <c r="F29" s="27"/>
      <c r="G29" s="7"/>
      <c r="H29" s="7"/>
      <c r="I29" s="7"/>
      <c r="J29" s="7"/>
      <c r="K29" s="7"/>
      <c r="L29" s="7"/>
      <c r="M29" s="5"/>
      <c r="N29" s="5"/>
      <c r="O29" s="5"/>
      <c r="P29" s="5"/>
      <c r="Q29" s="5"/>
      <c r="R29" s="5"/>
      <c r="S29" s="5"/>
      <c r="T29" s="5"/>
      <c r="U29" s="5"/>
    </row>
    <row r="30" spans="2:21" ht="12.75" customHeight="1" x14ac:dyDescent="0.25">
      <c r="B30" s="5"/>
      <c r="C30" s="6"/>
      <c r="D30" s="6"/>
      <c r="E30" s="27"/>
      <c r="F30" s="27"/>
      <c r="G30" s="7"/>
      <c r="H30" s="7"/>
      <c r="I30" s="7"/>
      <c r="J30" s="7"/>
      <c r="K30" s="7"/>
      <c r="L30" s="7"/>
      <c r="M30" s="5"/>
      <c r="N30" s="5"/>
      <c r="O30" s="5"/>
      <c r="P30" s="5"/>
      <c r="Q30" s="5"/>
      <c r="R30" s="5"/>
      <c r="S30" s="5"/>
      <c r="T30" s="5"/>
      <c r="U30" s="5"/>
    </row>
    <row r="31" spans="2:21" ht="12.75" customHeight="1" x14ac:dyDescent="0.25">
      <c r="B31" s="5"/>
      <c r="C31" s="6"/>
      <c r="D31" s="6"/>
      <c r="E31" s="26"/>
      <c r="F31" s="26"/>
      <c r="G31" s="7"/>
      <c r="H31" s="7"/>
      <c r="I31" s="7"/>
      <c r="J31" s="7"/>
      <c r="K31" s="7"/>
      <c r="L31" s="7"/>
      <c r="M31" s="5"/>
      <c r="N31" s="5"/>
      <c r="O31" s="5"/>
      <c r="P31" s="5"/>
      <c r="Q31" s="5"/>
      <c r="R31" s="5"/>
      <c r="S31" s="5"/>
      <c r="T31" s="5"/>
      <c r="U31" s="5"/>
    </row>
    <row r="32" spans="2:21" ht="12" customHeight="1" x14ac:dyDescent="0.25">
      <c r="B32" s="5"/>
      <c r="C32" s="6"/>
      <c r="D32" s="6"/>
      <c r="E32" s="53"/>
      <c r="F32" s="54"/>
      <c r="G32" s="7"/>
      <c r="H32" s="7"/>
      <c r="I32" s="7"/>
      <c r="J32" s="7"/>
      <c r="K32" s="7"/>
      <c r="L32" s="7"/>
      <c r="M32" s="5"/>
      <c r="N32" s="5"/>
      <c r="O32" s="5"/>
      <c r="P32" s="5"/>
      <c r="Q32" s="5"/>
      <c r="R32" s="5"/>
      <c r="S32" s="5"/>
      <c r="T32" s="5"/>
      <c r="U32" s="5"/>
    </row>
    <row r="33" spans="2:21" ht="12" customHeight="1" x14ac:dyDescent="0.25">
      <c r="B33" s="5"/>
      <c r="C33" s="6"/>
      <c r="D33" s="6"/>
      <c r="E33" s="55"/>
      <c r="F33" s="55"/>
      <c r="G33" s="7"/>
      <c r="H33" s="7"/>
      <c r="I33" s="7"/>
      <c r="J33" s="7"/>
      <c r="K33" s="7"/>
      <c r="L33" s="7"/>
      <c r="M33" s="5"/>
      <c r="N33" s="5"/>
      <c r="O33" s="5"/>
      <c r="P33" s="5"/>
      <c r="Q33" s="5"/>
      <c r="R33" s="5"/>
      <c r="S33" s="5"/>
      <c r="T33" s="5"/>
      <c r="U33" s="5"/>
    </row>
    <row r="34" spans="2:21" ht="9.75" customHeight="1" x14ac:dyDescent="0.25">
      <c r="B34" s="5"/>
      <c r="C34" s="6"/>
      <c r="D34" s="6"/>
      <c r="E34" s="6"/>
      <c r="F34" s="6"/>
      <c r="G34" s="7"/>
      <c r="H34" s="7"/>
      <c r="I34" s="7"/>
      <c r="J34" s="7"/>
      <c r="K34" s="7"/>
      <c r="L34" s="7"/>
      <c r="M34" s="5"/>
      <c r="N34" s="5"/>
      <c r="O34" s="5"/>
      <c r="P34" s="5"/>
      <c r="Q34" s="5"/>
      <c r="R34" s="5"/>
      <c r="S34" s="5"/>
      <c r="T34" s="5"/>
      <c r="U34" s="5"/>
    </row>
    <row r="35" spans="2:21" ht="2.25" hidden="1" customHeight="1" x14ac:dyDescent="0.25">
      <c r="B35" s="5"/>
      <c r="C35" s="6"/>
      <c r="D35" s="6"/>
      <c r="E35" s="6"/>
      <c r="F35" s="6"/>
      <c r="G35" s="7"/>
      <c r="H35" s="7"/>
      <c r="I35" s="7"/>
      <c r="J35" s="7"/>
      <c r="K35" s="7"/>
      <c r="L35" s="7"/>
      <c r="M35" s="5"/>
      <c r="N35" s="5"/>
      <c r="O35" s="5"/>
      <c r="P35" s="5"/>
      <c r="Q35" s="5"/>
      <c r="R35" s="5"/>
      <c r="S35" s="5"/>
      <c r="T35" s="5"/>
      <c r="U35" s="5"/>
    </row>
    <row r="36" spans="2:21" ht="18" x14ac:dyDescent="0.25">
      <c r="B36" s="5"/>
      <c r="C36" s="6"/>
      <c r="D36" s="6"/>
      <c r="E36" s="6"/>
      <c r="F36" s="6"/>
      <c r="G36" s="7"/>
      <c r="H36" s="7"/>
      <c r="I36" s="7"/>
      <c r="J36" s="7"/>
      <c r="K36" s="7"/>
      <c r="L36" s="7"/>
      <c r="M36" s="5"/>
      <c r="N36" s="5"/>
      <c r="O36" s="5"/>
      <c r="P36" s="5"/>
      <c r="Q36" s="59" t="s">
        <v>55</v>
      </c>
      <c r="R36" s="57"/>
      <c r="S36" s="58">
        <f>T47</f>
        <v>0.76126225231426403</v>
      </c>
      <c r="T36" s="56"/>
      <c r="U36" s="5"/>
    </row>
    <row r="37" spans="2:21" ht="12" customHeight="1" x14ac:dyDescent="0.25">
      <c r="B37" s="5"/>
      <c r="C37" s="6"/>
      <c r="D37" s="6"/>
      <c r="E37" s="6"/>
      <c r="F37" s="6"/>
      <c r="G37" s="7"/>
      <c r="H37" s="7"/>
      <c r="I37" s="7"/>
      <c r="J37" s="7"/>
      <c r="K37" s="7"/>
      <c r="L37" s="7"/>
      <c r="M37" s="5"/>
      <c r="N37" s="5"/>
      <c r="O37" s="5"/>
      <c r="P37" s="5"/>
      <c r="Q37" s="57"/>
      <c r="R37" s="57"/>
      <c r="S37" s="58"/>
      <c r="T37" s="56"/>
      <c r="U37" s="5"/>
    </row>
    <row r="38" spans="2:21" ht="40.5" customHeight="1" x14ac:dyDescent="0.25">
      <c r="B38" s="5"/>
      <c r="C38" s="8" t="s">
        <v>0</v>
      </c>
      <c r="D38" s="8" t="s">
        <v>1</v>
      </c>
      <c r="E38" s="14" t="s">
        <v>2</v>
      </c>
      <c r="F38" s="14" t="s">
        <v>43</v>
      </c>
      <c r="G38" s="15" t="s">
        <v>23</v>
      </c>
      <c r="H38" s="15" t="s">
        <v>24</v>
      </c>
      <c r="I38" s="15" t="s">
        <v>25</v>
      </c>
      <c r="J38" s="15" t="s">
        <v>26</v>
      </c>
      <c r="K38" s="15" t="s">
        <v>27</v>
      </c>
      <c r="L38" s="15" t="s">
        <v>28</v>
      </c>
      <c r="M38" s="15" t="s">
        <v>29</v>
      </c>
      <c r="N38" s="15" t="s">
        <v>30</v>
      </c>
      <c r="O38" s="15" t="s">
        <v>31</v>
      </c>
      <c r="P38" s="15" t="s">
        <v>32</v>
      </c>
      <c r="Q38" s="15" t="s">
        <v>33</v>
      </c>
      <c r="R38" s="15" t="s">
        <v>34</v>
      </c>
      <c r="S38" s="15" t="s">
        <v>35</v>
      </c>
      <c r="T38" s="15" t="s">
        <v>42</v>
      </c>
      <c r="U38" s="5"/>
    </row>
    <row r="39" spans="2:21" ht="19.5" customHeight="1" x14ac:dyDescent="0.25">
      <c r="B39" s="5"/>
      <c r="C39" s="9" t="s">
        <v>3</v>
      </c>
      <c r="D39" s="9" t="s">
        <v>4</v>
      </c>
      <c r="E39" s="37" t="s">
        <v>5</v>
      </c>
      <c r="F39" s="60">
        <v>633767000</v>
      </c>
      <c r="G39" s="60">
        <v>45807236.200000003</v>
      </c>
      <c r="H39" s="60">
        <v>91827738.109999999</v>
      </c>
      <c r="I39" s="60">
        <v>152858569.69</v>
      </c>
      <c r="J39" s="60">
        <v>190924353.43000001</v>
      </c>
      <c r="K39" s="60">
        <v>231475924.90000001</v>
      </c>
      <c r="L39" s="60">
        <v>336105051.64999998</v>
      </c>
      <c r="M39" s="61">
        <v>403798577.37</v>
      </c>
      <c r="N39" s="60">
        <v>449331458.47000003</v>
      </c>
      <c r="O39" s="71">
        <v>499452882.37</v>
      </c>
      <c r="P39" s="36">
        <v>542792363.28999996</v>
      </c>
      <c r="Q39" s="60">
        <v>589299535.58000004</v>
      </c>
      <c r="R39" s="61">
        <v>673515918.44000006</v>
      </c>
      <c r="S39" s="17">
        <f t="shared" ref="S39:S47" si="0">INDEX(G39:R39,COUNTA(G39:R39))</f>
        <v>673515918.44000006</v>
      </c>
      <c r="T39" s="64">
        <f>S39/F39</f>
        <v>1.0627185044977099</v>
      </c>
      <c r="U39" s="5"/>
    </row>
    <row r="40" spans="2:21" ht="19.5" customHeight="1" x14ac:dyDescent="0.25">
      <c r="B40" s="5"/>
      <c r="C40" s="9" t="s">
        <v>3</v>
      </c>
      <c r="D40" s="9" t="s">
        <v>6</v>
      </c>
      <c r="E40" s="37" t="s">
        <v>7</v>
      </c>
      <c r="F40" s="60">
        <v>120921000</v>
      </c>
      <c r="G40" s="60">
        <v>11424307.76</v>
      </c>
      <c r="H40" s="60">
        <v>16752227.26</v>
      </c>
      <c r="I40" s="60">
        <v>24417946.02</v>
      </c>
      <c r="J40" s="60">
        <v>39120885.450000003</v>
      </c>
      <c r="K40" s="60">
        <v>47181891.289999999</v>
      </c>
      <c r="L40" s="60">
        <v>56865885.439999998</v>
      </c>
      <c r="M40" s="61">
        <v>61698976.789999999</v>
      </c>
      <c r="N40" s="60">
        <v>66435106.549999997</v>
      </c>
      <c r="O40" s="16">
        <v>74500564.760000005</v>
      </c>
      <c r="P40" s="36">
        <v>78137044.099999994</v>
      </c>
      <c r="Q40" s="60">
        <v>85839890.480000004</v>
      </c>
      <c r="R40" s="61">
        <v>93189865.579999998</v>
      </c>
      <c r="S40" s="17">
        <f t="shared" si="0"/>
        <v>93189865.579999998</v>
      </c>
      <c r="T40" s="64">
        <f t="shared" ref="T40:T53" si="1">S40/F40</f>
        <v>0.77066734132202019</v>
      </c>
      <c r="U40" s="5"/>
    </row>
    <row r="41" spans="2:21" ht="19.5" customHeight="1" x14ac:dyDescent="0.25">
      <c r="B41" s="5"/>
      <c r="C41" s="9" t="s">
        <v>11</v>
      </c>
      <c r="D41" s="9" t="s">
        <v>12</v>
      </c>
      <c r="E41" s="37" t="s">
        <v>13</v>
      </c>
      <c r="F41" s="60">
        <v>7276000</v>
      </c>
      <c r="G41" s="60">
        <v>132398</v>
      </c>
      <c r="H41" s="60">
        <v>300277</v>
      </c>
      <c r="I41" s="60">
        <v>325255</v>
      </c>
      <c r="J41" s="60">
        <v>482313</v>
      </c>
      <c r="K41" s="60">
        <v>514113</v>
      </c>
      <c r="L41" s="60">
        <v>1585450</v>
      </c>
      <c r="M41" s="61">
        <v>1746726</v>
      </c>
      <c r="N41" s="60">
        <v>3328847</v>
      </c>
      <c r="O41" s="16">
        <v>5140723.3</v>
      </c>
      <c r="P41" s="36">
        <v>24964087.300000001</v>
      </c>
      <c r="Q41" s="60">
        <v>26562538.300000001</v>
      </c>
      <c r="R41" s="61">
        <v>26583660.300000001</v>
      </c>
      <c r="S41" s="17">
        <f t="shared" si="0"/>
        <v>26583660.300000001</v>
      </c>
      <c r="T41" s="64">
        <f t="shared" si="1"/>
        <v>3.6536091671247939</v>
      </c>
      <c r="U41" s="5"/>
    </row>
    <row r="42" spans="2:21" ht="19.5" customHeight="1" x14ac:dyDescent="0.25">
      <c r="B42" s="5"/>
      <c r="C42" s="9" t="s">
        <v>3</v>
      </c>
      <c r="D42" s="9" t="s">
        <v>8</v>
      </c>
      <c r="E42" s="37" t="s">
        <v>36</v>
      </c>
      <c r="F42" s="60">
        <v>79349600</v>
      </c>
      <c r="G42" s="60">
        <v>3790934</v>
      </c>
      <c r="H42" s="60">
        <v>9270023</v>
      </c>
      <c r="I42" s="60">
        <v>13261248</v>
      </c>
      <c r="J42" s="60">
        <v>25362335.809999999</v>
      </c>
      <c r="K42" s="60">
        <v>36121942.810000002</v>
      </c>
      <c r="L42" s="60">
        <v>52909856.810000002</v>
      </c>
      <c r="M42" s="16">
        <v>58622126.810000002</v>
      </c>
      <c r="N42" s="69">
        <v>63410991.810000002</v>
      </c>
      <c r="O42" s="16">
        <v>68588320.810000002</v>
      </c>
      <c r="P42" s="36">
        <v>74891213.810000241</v>
      </c>
      <c r="Q42" s="60">
        <v>79670239.809999987</v>
      </c>
      <c r="R42" s="73">
        <v>88151430.670000002</v>
      </c>
      <c r="S42" s="17">
        <f t="shared" si="0"/>
        <v>88151430.670000002</v>
      </c>
      <c r="T42" s="64">
        <f t="shared" si="1"/>
        <v>1.1109247011957213</v>
      </c>
      <c r="U42" s="5"/>
    </row>
    <row r="43" spans="2:21" ht="19.5" customHeight="1" x14ac:dyDescent="0.25">
      <c r="B43" s="5"/>
      <c r="C43" s="9" t="s">
        <v>11</v>
      </c>
      <c r="D43" s="9" t="s">
        <v>8</v>
      </c>
      <c r="E43" s="37" t="s">
        <v>37</v>
      </c>
      <c r="F43" s="60">
        <v>21218000</v>
      </c>
      <c r="G43" s="60">
        <v>0</v>
      </c>
      <c r="H43" s="60">
        <v>0</v>
      </c>
      <c r="I43" s="60">
        <v>20158983.579999998</v>
      </c>
      <c r="J43" s="60">
        <v>20158983.579999998</v>
      </c>
      <c r="K43" s="60">
        <v>20158983.579999998</v>
      </c>
      <c r="L43" s="60">
        <v>20613456.800000001</v>
      </c>
      <c r="M43" s="60">
        <v>20613456.800000001</v>
      </c>
      <c r="N43" s="69">
        <v>20713456.800000001</v>
      </c>
      <c r="O43" s="16">
        <v>20713456.800000001</v>
      </c>
      <c r="P43" s="36">
        <v>20713456.800000001</v>
      </c>
      <c r="Q43" s="60">
        <v>20713456.800000001</v>
      </c>
      <c r="R43" s="61">
        <v>21188456.800000001</v>
      </c>
      <c r="S43" s="17">
        <f t="shared" si="0"/>
        <v>21188456.800000001</v>
      </c>
      <c r="T43" s="64">
        <f t="shared" si="1"/>
        <v>0.998607635026864</v>
      </c>
      <c r="U43" s="5"/>
    </row>
    <row r="44" spans="2:21" s="2" customFormat="1" ht="19.5" customHeight="1" x14ac:dyDescent="0.25">
      <c r="B44" s="10"/>
      <c r="C44" s="11"/>
      <c r="D44" s="11"/>
      <c r="E44" s="38" t="s">
        <v>20</v>
      </c>
      <c r="F44" s="18">
        <f>SUM(F39:F43)</f>
        <v>862531600</v>
      </c>
      <c r="G44" s="18">
        <f>SUM(G39:G43)</f>
        <v>61154875.960000001</v>
      </c>
      <c r="H44" s="18">
        <f t="shared" ref="H44:R44" si="2">SUM(H39:H43)</f>
        <v>118150265.37</v>
      </c>
      <c r="I44" s="18">
        <f t="shared" si="2"/>
        <v>211022002.29000002</v>
      </c>
      <c r="J44" s="18">
        <f t="shared" si="2"/>
        <v>276048871.26999998</v>
      </c>
      <c r="K44" s="18">
        <f t="shared" si="2"/>
        <v>335452855.57999998</v>
      </c>
      <c r="L44" s="18">
        <f t="shared" si="2"/>
        <v>468079700.69999999</v>
      </c>
      <c r="M44" s="18">
        <f t="shared" si="2"/>
        <v>546479863.76999998</v>
      </c>
      <c r="N44" s="18">
        <f t="shared" si="2"/>
        <v>603219860.63</v>
      </c>
      <c r="O44" s="18">
        <f t="shared" si="2"/>
        <v>668395948.03999996</v>
      </c>
      <c r="P44" s="18">
        <f t="shared" si="2"/>
        <v>741498165.30000019</v>
      </c>
      <c r="Q44" s="18">
        <f t="shared" si="2"/>
        <v>802085660.96999991</v>
      </c>
      <c r="R44" s="18">
        <f t="shared" si="2"/>
        <v>902629331.78999996</v>
      </c>
      <c r="S44" s="18">
        <f>INDEX(G44:R44,COUNTA(G44:R44))</f>
        <v>902629331.78999996</v>
      </c>
      <c r="T44" s="65">
        <f t="shared" si="1"/>
        <v>1.0464884205865617</v>
      </c>
      <c r="U44" s="10"/>
    </row>
    <row r="45" spans="2:21" ht="19.5" customHeight="1" x14ac:dyDescent="0.25">
      <c r="B45" s="5"/>
      <c r="C45" s="9" t="s">
        <v>3</v>
      </c>
      <c r="D45" s="9" t="s">
        <v>9</v>
      </c>
      <c r="E45" s="37" t="s">
        <v>10</v>
      </c>
      <c r="F45" s="60">
        <v>880017600</v>
      </c>
      <c r="G45" s="60">
        <v>38352038.880000003</v>
      </c>
      <c r="H45" s="60">
        <v>93697704.010000005</v>
      </c>
      <c r="I45" s="60">
        <v>161703881.22999999</v>
      </c>
      <c r="J45" s="60">
        <v>218616847.97999999</v>
      </c>
      <c r="K45" s="60">
        <v>274839903.79000002</v>
      </c>
      <c r="L45" s="60">
        <v>345996245.52999997</v>
      </c>
      <c r="M45" s="70">
        <v>409164119.95999998</v>
      </c>
      <c r="N45" s="69">
        <v>460963061.39999998</v>
      </c>
      <c r="O45" s="16">
        <v>525777269.81</v>
      </c>
      <c r="P45" s="36">
        <v>577649028.2700001</v>
      </c>
      <c r="Q45" s="60">
        <v>633837452.26999998</v>
      </c>
      <c r="R45" s="61">
        <v>725316990.97000003</v>
      </c>
      <c r="S45" s="17">
        <f t="shared" si="0"/>
        <v>725316990.97000003</v>
      </c>
      <c r="T45" s="64">
        <f t="shared" si="1"/>
        <v>0.82420736922761551</v>
      </c>
      <c r="U45" s="5"/>
    </row>
    <row r="46" spans="2:21" ht="19.5" customHeight="1" x14ac:dyDescent="0.25">
      <c r="B46" s="5"/>
      <c r="C46" s="9" t="s">
        <v>11</v>
      </c>
      <c r="D46" s="9" t="s">
        <v>14</v>
      </c>
      <c r="E46" s="37" t="s">
        <v>15</v>
      </c>
      <c r="F46" s="60">
        <v>215968000</v>
      </c>
      <c r="G46" s="60">
        <v>19179</v>
      </c>
      <c r="H46" s="60">
        <v>61160.31</v>
      </c>
      <c r="I46" s="60">
        <v>3771158.97</v>
      </c>
      <c r="J46" s="60">
        <v>12228753.220000001</v>
      </c>
      <c r="K46" s="60">
        <v>16038769.560000001</v>
      </c>
      <c r="L46" s="60">
        <v>33301628.23</v>
      </c>
      <c r="M46" s="69">
        <v>37616894.799999997</v>
      </c>
      <c r="N46" s="60">
        <v>40222373.659999996</v>
      </c>
      <c r="O46" s="16">
        <v>57821521.369999997</v>
      </c>
      <c r="P46" s="36">
        <v>67128235.799999997</v>
      </c>
      <c r="Q46" s="60">
        <v>76857443.219999999</v>
      </c>
      <c r="R46" s="61">
        <v>109015475.39</v>
      </c>
      <c r="S46" s="17">
        <f t="shared" si="0"/>
        <v>109015475.39</v>
      </c>
      <c r="T46" s="64">
        <f t="shared" si="1"/>
        <v>0.50477605659171731</v>
      </c>
      <c r="U46" s="5"/>
    </row>
    <row r="47" spans="2:21" s="2" customFormat="1" ht="19.5" customHeight="1" x14ac:dyDescent="0.25">
      <c r="B47" s="10"/>
      <c r="C47" s="11"/>
      <c r="D47" s="11"/>
      <c r="E47" s="38" t="s">
        <v>21</v>
      </c>
      <c r="F47" s="18">
        <f>SUM(F45:F46)</f>
        <v>1095985600</v>
      </c>
      <c r="G47" s="18">
        <f>SUM(G45:G46)</f>
        <v>38371217.880000003</v>
      </c>
      <c r="H47" s="18">
        <f t="shared" ref="H47:P47" si="3">SUM(H45:H46)</f>
        <v>93758864.320000008</v>
      </c>
      <c r="I47" s="18">
        <f t="shared" si="3"/>
        <v>165475040.19999999</v>
      </c>
      <c r="J47" s="18">
        <f t="shared" si="3"/>
        <v>230845601.19999999</v>
      </c>
      <c r="K47" s="18">
        <f t="shared" si="3"/>
        <v>290878673.35000002</v>
      </c>
      <c r="L47" s="18">
        <f t="shared" si="3"/>
        <v>379297873.75999999</v>
      </c>
      <c r="M47" s="18">
        <f t="shared" si="3"/>
        <v>446781014.75999999</v>
      </c>
      <c r="N47" s="18">
        <f t="shared" si="3"/>
        <v>501185435.05999994</v>
      </c>
      <c r="O47" s="18">
        <f t="shared" si="3"/>
        <v>583598791.17999995</v>
      </c>
      <c r="P47" s="18">
        <f t="shared" si="3"/>
        <v>644777264.07000005</v>
      </c>
      <c r="Q47" s="18">
        <f>SUM(Q45:Q46)</f>
        <v>710694895.49000001</v>
      </c>
      <c r="R47" s="18">
        <f>SUM(R45:R46)</f>
        <v>834332466.36000001</v>
      </c>
      <c r="S47" s="18">
        <f t="shared" si="0"/>
        <v>834332466.36000001</v>
      </c>
      <c r="T47" s="65">
        <f t="shared" si="1"/>
        <v>0.76126225231426403</v>
      </c>
      <c r="U47" s="10"/>
    </row>
    <row r="48" spans="2:21" ht="19.5" customHeight="1" x14ac:dyDescent="0.25">
      <c r="B48" s="5"/>
      <c r="C48" s="9" t="s">
        <v>11</v>
      </c>
      <c r="D48" s="9" t="s">
        <v>16</v>
      </c>
      <c r="E48" s="37" t="s">
        <v>17</v>
      </c>
      <c r="F48" s="60">
        <v>233454000</v>
      </c>
      <c r="G48" s="60">
        <v>-8136366.0499999998</v>
      </c>
      <c r="H48" s="60">
        <v>-7711773.0700000003</v>
      </c>
      <c r="I48" s="60">
        <v>-15427897.619999999</v>
      </c>
      <c r="J48" s="60">
        <v>-24323813.170000002</v>
      </c>
      <c r="K48" s="60">
        <v>-32475984.43</v>
      </c>
      <c r="L48" s="60">
        <v>-40771618.479999997</v>
      </c>
      <c r="M48" s="69">
        <v>-46167713.670000002</v>
      </c>
      <c r="N48" s="61">
        <v>-48718283.149999999</v>
      </c>
      <c r="O48" s="17">
        <v>-45776028.380000003</v>
      </c>
      <c r="P48" s="36">
        <v>-49861237.380000003</v>
      </c>
      <c r="Q48" s="60">
        <v>-53964954.079999998</v>
      </c>
      <c r="R48" s="61">
        <v>-65955257.079999998</v>
      </c>
      <c r="S48" s="17">
        <f>INDEX(G48:R48,COUNTA(G48:R48))</f>
        <v>-65955257.079999998</v>
      </c>
      <c r="T48" s="64" t="s">
        <v>45</v>
      </c>
      <c r="U48" s="5"/>
    </row>
    <row r="49" spans="2:21" ht="19.5" customHeight="1" x14ac:dyDescent="0.25">
      <c r="B49" s="5"/>
      <c r="C49" s="9"/>
      <c r="D49" s="9"/>
      <c r="E49" s="37" t="s">
        <v>60</v>
      </c>
      <c r="F49" s="17">
        <f t="shared" ref="F49" si="4">F39+F40+F42</f>
        <v>834037600</v>
      </c>
      <c r="G49" s="17">
        <f t="shared" ref="G49:O49" si="5">G39+G40+G42</f>
        <v>61022477.960000001</v>
      </c>
      <c r="H49" s="17">
        <f t="shared" si="5"/>
        <v>117849988.37</v>
      </c>
      <c r="I49" s="17">
        <f t="shared" si="5"/>
        <v>190537763.71000001</v>
      </c>
      <c r="J49" s="17">
        <f t="shared" si="5"/>
        <v>255407574.69</v>
      </c>
      <c r="K49" s="17">
        <f t="shared" si="5"/>
        <v>314779759</v>
      </c>
      <c r="L49" s="17">
        <f t="shared" si="5"/>
        <v>445880793.89999998</v>
      </c>
      <c r="M49" s="17">
        <f t="shared" si="5"/>
        <v>524119680.97000003</v>
      </c>
      <c r="N49" s="17">
        <f t="shared" si="5"/>
        <v>579177556.83000004</v>
      </c>
      <c r="O49" s="17">
        <f t="shared" si="5"/>
        <v>642541767.94000006</v>
      </c>
      <c r="P49" s="17">
        <f t="shared" ref="P49:Q49" si="6">P39+P40+P42</f>
        <v>695820621.20000029</v>
      </c>
      <c r="Q49" s="17">
        <f t="shared" si="6"/>
        <v>754809665.87</v>
      </c>
      <c r="R49" s="17">
        <f>R39+R40+R42</f>
        <v>854857214.69000006</v>
      </c>
      <c r="S49" s="17">
        <f t="shared" ref="S49:S58" si="7">INDEX(G49:R49,COUNTA(G49:R49))</f>
        <v>854857214.69000006</v>
      </c>
      <c r="T49" s="64">
        <f t="shared" si="1"/>
        <v>1.0249624413695497</v>
      </c>
      <c r="U49" s="5"/>
    </row>
    <row r="50" spans="2:21" s="2" customFormat="1" ht="19.5" customHeight="1" x14ac:dyDescent="0.25">
      <c r="B50" s="10"/>
      <c r="C50" s="11"/>
      <c r="D50" s="11"/>
      <c r="E50" s="46" t="s">
        <v>46</v>
      </c>
      <c r="F50" s="47">
        <f t="shared" ref="F50" si="8">F44-F47</f>
        <v>-233454000</v>
      </c>
      <c r="G50" s="47">
        <f t="shared" ref="G50:K50" si="9">G44-G47</f>
        <v>22783658.079999998</v>
      </c>
      <c r="H50" s="47">
        <f t="shared" si="9"/>
        <v>24391401.049999997</v>
      </c>
      <c r="I50" s="47">
        <f t="shared" si="9"/>
        <v>45546962.090000033</v>
      </c>
      <c r="J50" s="47">
        <f t="shared" si="9"/>
        <v>45203270.069999993</v>
      </c>
      <c r="K50" s="47">
        <f t="shared" si="9"/>
        <v>44574182.229999959</v>
      </c>
      <c r="L50" s="47">
        <f t="shared" ref="L50:Q50" si="10">L44-L47</f>
        <v>88781826.939999998</v>
      </c>
      <c r="M50" s="47">
        <f t="shared" si="10"/>
        <v>99698849.00999999</v>
      </c>
      <c r="N50" s="47">
        <f t="shared" si="10"/>
        <v>102034425.57000005</v>
      </c>
      <c r="O50" s="47">
        <f t="shared" si="10"/>
        <v>84797156.860000014</v>
      </c>
      <c r="P50" s="47">
        <f t="shared" si="10"/>
        <v>96720901.230000138</v>
      </c>
      <c r="Q50" s="47">
        <f t="shared" si="10"/>
        <v>91390765.4799999</v>
      </c>
      <c r="R50" s="47">
        <f t="shared" ref="R50" si="11">R44-R47</f>
        <v>68296865.429999948</v>
      </c>
      <c r="S50" s="47">
        <f>INDEX(G50:R50,COUNTA(G50:R50))</f>
        <v>68296865.429999948</v>
      </c>
      <c r="T50" s="66" t="s">
        <v>45</v>
      </c>
      <c r="U50" s="10"/>
    </row>
    <row r="51" spans="2:21" ht="19.5" customHeight="1" x14ac:dyDescent="0.25">
      <c r="B51" s="5"/>
      <c r="C51" s="9"/>
      <c r="D51" s="9"/>
      <c r="E51" s="48" t="s">
        <v>18</v>
      </c>
      <c r="F51" s="49">
        <f t="shared" ref="F51" si="12">F39+F40+F42-F45</f>
        <v>-45980000</v>
      </c>
      <c r="G51" s="49">
        <f t="shared" ref="G51:L51" si="13">G39+G40+G42-G45</f>
        <v>22670439.079999998</v>
      </c>
      <c r="H51" s="49">
        <f t="shared" si="13"/>
        <v>24152284.359999999</v>
      </c>
      <c r="I51" s="49">
        <f t="shared" si="13"/>
        <v>28833882.480000019</v>
      </c>
      <c r="J51" s="49">
        <f t="shared" si="13"/>
        <v>36790726.710000008</v>
      </c>
      <c r="K51" s="49">
        <f t="shared" si="13"/>
        <v>39939855.209999979</v>
      </c>
      <c r="L51" s="49">
        <f t="shared" si="13"/>
        <v>99884548.370000005</v>
      </c>
      <c r="M51" s="49">
        <f t="shared" ref="M51:N51" si="14">M39+M40+M42-M45</f>
        <v>114955561.01000005</v>
      </c>
      <c r="N51" s="49">
        <f t="shared" si="14"/>
        <v>118214495.43000007</v>
      </c>
      <c r="O51" s="49">
        <f t="shared" ref="O51:P51" si="15">O39+O40+O42-O45</f>
        <v>116764498.13000005</v>
      </c>
      <c r="P51" s="49">
        <f t="shared" si="15"/>
        <v>118171592.93000019</v>
      </c>
      <c r="Q51" s="49">
        <f t="shared" ref="Q51:R51" si="16">Q39+Q40+Q42-Q45</f>
        <v>120972213.60000002</v>
      </c>
      <c r="R51" s="49">
        <f t="shared" si="16"/>
        <v>129540223.72000003</v>
      </c>
      <c r="S51" s="49">
        <f>INDEX(G51:R51,COUNTA(G51:R51))</f>
        <v>129540223.72000003</v>
      </c>
      <c r="T51" s="67">
        <f t="shared" si="1"/>
        <v>-2.8173167403218797</v>
      </c>
      <c r="U51" s="5"/>
    </row>
    <row r="52" spans="2:21" ht="19.5" customHeight="1" x14ac:dyDescent="0.25">
      <c r="B52" s="5"/>
      <c r="C52" s="9"/>
      <c r="D52" s="9"/>
      <c r="E52" s="37" t="s">
        <v>19</v>
      </c>
      <c r="F52" s="17">
        <f t="shared" ref="F52" si="17">F41+F43-F46</f>
        <v>-187474000</v>
      </c>
      <c r="G52" s="17">
        <f t="shared" ref="G52:K52" si="18">G41+G43-G46</f>
        <v>113219</v>
      </c>
      <c r="H52" s="17">
        <f t="shared" si="18"/>
        <v>239116.69</v>
      </c>
      <c r="I52" s="17">
        <f t="shared" si="18"/>
        <v>16713079.609999998</v>
      </c>
      <c r="J52" s="17">
        <f t="shared" si="18"/>
        <v>8412543.3599999975</v>
      </c>
      <c r="K52" s="17">
        <f t="shared" si="18"/>
        <v>4634327.0199999977</v>
      </c>
      <c r="L52" s="17">
        <f t="shared" ref="L52:Q52" si="19">L41+L43-L46</f>
        <v>-11102721.43</v>
      </c>
      <c r="M52" s="17">
        <f t="shared" si="19"/>
        <v>-15256711.999999996</v>
      </c>
      <c r="N52" s="17">
        <f t="shared" si="19"/>
        <v>-16180069.859999996</v>
      </c>
      <c r="O52" s="17">
        <f t="shared" si="19"/>
        <v>-31967341.269999996</v>
      </c>
      <c r="P52" s="17">
        <f t="shared" si="19"/>
        <v>-21450691.699999996</v>
      </c>
      <c r="Q52" s="17">
        <f t="shared" si="19"/>
        <v>-29581448.119999997</v>
      </c>
      <c r="R52" s="17">
        <f t="shared" ref="R52" si="20">R41+R43-R46</f>
        <v>-61243358.289999999</v>
      </c>
      <c r="S52" s="17">
        <f>INDEX(G52:R52,COUNTA(G52:R52))</f>
        <v>-61243358.289999999</v>
      </c>
      <c r="T52" s="64">
        <f t="shared" si="1"/>
        <v>0.32667654336067936</v>
      </c>
      <c r="U52" s="5"/>
    </row>
    <row r="53" spans="2:21" ht="19.5" customHeight="1" x14ac:dyDescent="0.25">
      <c r="B53" s="5"/>
      <c r="C53" s="9"/>
      <c r="D53" s="9"/>
      <c r="E53" s="37" t="s">
        <v>53</v>
      </c>
      <c r="F53" s="17">
        <f t="shared" ref="F53" si="21">F52+F48</f>
        <v>45980000</v>
      </c>
      <c r="G53" s="17">
        <f t="shared" ref="G53:L53" si="22">G52+G48</f>
        <v>-8023147.0499999998</v>
      </c>
      <c r="H53" s="17">
        <f t="shared" si="22"/>
        <v>-7472656.3799999999</v>
      </c>
      <c r="I53" s="17">
        <f t="shared" si="22"/>
        <v>1285181.9899999984</v>
      </c>
      <c r="J53" s="17">
        <f t="shared" si="22"/>
        <v>-15911269.810000004</v>
      </c>
      <c r="K53" s="17">
        <f t="shared" si="22"/>
        <v>-27841657.410000004</v>
      </c>
      <c r="L53" s="17">
        <f t="shared" si="22"/>
        <v>-51874339.909999996</v>
      </c>
      <c r="M53" s="17">
        <f t="shared" ref="M53:N53" si="23">M52+M48</f>
        <v>-61424425.670000002</v>
      </c>
      <c r="N53" s="17">
        <f t="shared" si="23"/>
        <v>-64898353.00999999</v>
      </c>
      <c r="O53" s="17">
        <f t="shared" ref="O53:P53" si="24">O52+O48</f>
        <v>-77743369.650000006</v>
      </c>
      <c r="P53" s="17">
        <f t="shared" si="24"/>
        <v>-71311929.079999998</v>
      </c>
      <c r="Q53" s="17">
        <f t="shared" ref="Q53:R53" si="25">Q52+Q48</f>
        <v>-83546402.199999988</v>
      </c>
      <c r="R53" s="17">
        <f t="shared" si="25"/>
        <v>-127198615.37</v>
      </c>
      <c r="S53" s="17">
        <f t="shared" si="7"/>
        <v>-127198615.37</v>
      </c>
      <c r="T53" s="64">
        <f t="shared" si="1"/>
        <v>-2.7663900689430188</v>
      </c>
      <c r="U53" s="5"/>
    </row>
    <row r="54" spans="2:21" ht="19.5" customHeight="1" x14ac:dyDescent="0.25">
      <c r="B54" s="5"/>
      <c r="C54" s="9"/>
      <c r="D54" s="9"/>
      <c r="E54" s="50" t="s">
        <v>22</v>
      </c>
      <c r="F54" s="51">
        <v>0</v>
      </c>
      <c r="G54" s="51">
        <f t="shared" ref="G54:L54" si="26">G50+G48</f>
        <v>14647292.029999997</v>
      </c>
      <c r="H54" s="51">
        <f t="shared" si="26"/>
        <v>16679627.979999997</v>
      </c>
      <c r="I54" s="51">
        <f t="shared" si="26"/>
        <v>30119064.470000036</v>
      </c>
      <c r="J54" s="51">
        <f t="shared" si="26"/>
        <v>20879456.899999991</v>
      </c>
      <c r="K54" s="51">
        <f t="shared" si="26"/>
        <v>12098197.79999996</v>
      </c>
      <c r="L54" s="51">
        <f t="shared" si="26"/>
        <v>48010208.460000001</v>
      </c>
      <c r="M54" s="51">
        <f t="shared" ref="M54:N54" si="27">M50+M48</f>
        <v>53531135.339999989</v>
      </c>
      <c r="N54" s="51">
        <f t="shared" si="27"/>
        <v>53316142.420000054</v>
      </c>
      <c r="O54" s="51">
        <f t="shared" ref="O54:P54" si="28">O50+O48</f>
        <v>39021128.480000012</v>
      </c>
      <c r="P54" s="51">
        <f t="shared" si="28"/>
        <v>46859663.850000136</v>
      </c>
      <c r="Q54" s="51">
        <f t="shared" ref="Q54:R54" si="29">Q50+Q48</f>
        <v>37425811.399999902</v>
      </c>
      <c r="R54" s="51">
        <f t="shared" si="29"/>
        <v>2341608.3499999493</v>
      </c>
      <c r="S54" s="51">
        <f t="shared" si="7"/>
        <v>2341608.3499999493</v>
      </c>
      <c r="T54" s="68" t="s">
        <v>45</v>
      </c>
      <c r="U54" s="5"/>
    </row>
    <row r="55" spans="2:21" s="32" customFormat="1" ht="10.5" customHeight="1" x14ac:dyDescent="0.25">
      <c r="B55" s="33"/>
      <c r="C55" s="31"/>
      <c r="D55" s="31"/>
      <c r="E55" s="39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40"/>
      <c r="Q55" s="40"/>
      <c r="R55" s="40"/>
      <c r="S55" s="34"/>
      <c r="T55" s="41"/>
      <c r="U55" s="33"/>
    </row>
    <row r="56" spans="2:21" s="32" customFormat="1" ht="27.6" x14ac:dyDescent="0.25">
      <c r="B56" s="33"/>
      <c r="C56" s="31"/>
      <c r="D56" s="31"/>
      <c r="E56" s="42"/>
      <c r="F56" s="14" t="s">
        <v>50</v>
      </c>
      <c r="G56" s="15" t="s">
        <v>23</v>
      </c>
      <c r="H56" s="15" t="s">
        <v>24</v>
      </c>
      <c r="I56" s="15" t="s">
        <v>25</v>
      </c>
      <c r="J56" s="15" t="s">
        <v>26</v>
      </c>
      <c r="K56" s="15" t="s">
        <v>27</v>
      </c>
      <c r="L56" s="15" t="s">
        <v>28</v>
      </c>
      <c r="M56" s="15" t="s">
        <v>29</v>
      </c>
      <c r="N56" s="15" t="s">
        <v>30</v>
      </c>
      <c r="O56" s="15" t="s">
        <v>31</v>
      </c>
      <c r="P56" s="15" t="s">
        <v>32</v>
      </c>
      <c r="Q56" s="15" t="s">
        <v>33</v>
      </c>
      <c r="R56" s="15" t="s">
        <v>34</v>
      </c>
      <c r="S56" s="15" t="s">
        <v>35</v>
      </c>
      <c r="T56" s="15" t="s">
        <v>49</v>
      </c>
      <c r="U56" s="33"/>
    </row>
    <row r="57" spans="2:21" s="32" customFormat="1" ht="19.5" customHeight="1" x14ac:dyDescent="0.25">
      <c r="B57" s="33"/>
      <c r="C57" s="31"/>
      <c r="D57" s="31"/>
      <c r="E57" s="43" t="s">
        <v>57</v>
      </c>
      <c r="F57" s="30">
        <v>0</v>
      </c>
      <c r="G57" s="30">
        <v>9000000</v>
      </c>
      <c r="H57" s="30">
        <v>9000000</v>
      </c>
      <c r="I57" s="30">
        <v>8906600</v>
      </c>
      <c r="J57" s="30">
        <v>6906600</v>
      </c>
      <c r="K57" s="30">
        <v>8606600</v>
      </c>
      <c r="L57" s="30">
        <v>41245600</v>
      </c>
      <c r="M57" s="30">
        <v>41245600</v>
      </c>
      <c r="N57" s="4">
        <v>41245600</v>
      </c>
      <c r="O57" s="30">
        <v>40496600</v>
      </c>
      <c r="P57" s="30">
        <v>40496000</v>
      </c>
      <c r="Q57" s="30">
        <v>40556600</v>
      </c>
      <c r="R57" s="30">
        <v>62340600</v>
      </c>
      <c r="S57" s="35">
        <f t="shared" si="7"/>
        <v>62340600</v>
      </c>
      <c r="T57" s="35">
        <f>S57-0</f>
        <v>62340600</v>
      </c>
      <c r="U57" s="33"/>
    </row>
    <row r="58" spans="2:21" s="32" customFormat="1" ht="19.5" customHeight="1" x14ac:dyDescent="0.25">
      <c r="B58" s="33"/>
      <c r="C58" s="31"/>
      <c r="D58" s="31"/>
      <c r="E58" s="43" t="s">
        <v>56</v>
      </c>
      <c r="F58" s="30">
        <v>0</v>
      </c>
      <c r="G58" s="30">
        <v>34700000</v>
      </c>
      <c r="H58" s="30">
        <v>34700000</v>
      </c>
      <c r="I58" s="30">
        <v>34700000</v>
      </c>
      <c r="J58" s="30">
        <v>34700000</v>
      </c>
      <c r="K58" s="30">
        <v>32900000</v>
      </c>
      <c r="L58" s="30">
        <v>21296000</v>
      </c>
      <c r="M58" s="30">
        <v>21296000</v>
      </c>
      <c r="N58" s="30">
        <v>21296000</v>
      </c>
      <c r="O58" s="30">
        <v>21296000</v>
      </c>
      <c r="P58" s="30">
        <v>21296000</v>
      </c>
      <c r="Q58" s="30">
        <v>21296000</v>
      </c>
      <c r="R58" s="30">
        <v>21296000</v>
      </c>
      <c r="S58" s="35">
        <f t="shared" si="7"/>
        <v>21296000</v>
      </c>
      <c r="T58" s="35">
        <f>S58-0</f>
        <v>21296000</v>
      </c>
      <c r="U58" s="33"/>
    </row>
    <row r="59" spans="2:21" ht="19.5" customHeight="1" x14ac:dyDescent="0.25">
      <c r="B59" s="5"/>
      <c r="C59" s="6"/>
      <c r="D59" s="6"/>
      <c r="E59" s="43" t="s">
        <v>48</v>
      </c>
      <c r="F59" s="30">
        <v>269718053.55000001</v>
      </c>
      <c r="G59" s="63" t="s">
        <v>58</v>
      </c>
      <c r="H59" s="30">
        <v>286397681.52999997</v>
      </c>
      <c r="I59" s="30">
        <v>299837118.01999998</v>
      </c>
      <c r="J59" s="30">
        <v>290597510.44999999</v>
      </c>
      <c r="K59" s="30">
        <v>281816251.35000002</v>
      </c>
      <c r="L59" s="30">
        <v>317728262.00999999</v>
      </c>
      <c r="M59" s="61">
        <v>368612016.58999997</v>
      </c>
      <c r="N59" s="4">
        <v>323034195.97000003</v>
      </c>
      <c r="O59" s="30">
        <v>308739182.02999997</v>
      </c>
      <c r="P59" s="30">
        <v>316577717.39999998</v>
      </c>
      <c r="Q59" s="30">
        <v>300220370.63</v>
      </c>
      <c r="R59" s="30">
        <v>272059661.89999998</v>
      </c>
      <c r="S59" s="35">
        <f>INDEX(G59:R59,COUNTA(G59:R59))</f>
        <v>272059661.89999998</v>
      </c>
      <c r="T59" s="35">
        <f>S59-F59</f>
        <v>2341608.3499999642</v>
      </c>
      <c r="U59" s="5"/>
    </row>
    <row r="60" spans="2:21" ht="19.5" customHeight="1" x14ac:dyDescent="0.25">
      <c r="B60" s="5"/>
      <c r="C60" s="6"/>
      <c r="D60" s="6"/>
      <c r="E60" s="43" t="s">
        <v>51</v>
      </c>
      <c r="F60" s="62">
        <v>376363636.37999994</v>
      </c>
      <c r="G60" s="30">
        <f>F60-8181818.18</f>
        <v>368181818.19999993</v>
      </c>
      <c r="H60" s="30">
        <f t="shared" ref="H60:M60" si="30">G60-8181818.18</f>
        <v>360000000.01999992</v>
      </c>
      <c r="I60" s="30">
        <f t="shared" si="30"/>
        <v>351818181.83999991</v>
      </c>
      <c r="J60" s="30">
        <f t="shared" si="30"/>
        <v>343636363.65999991</v>
      </c>
      <c r="K60" s="30">
        <f t="shared" si="30"/>
        <v>335454545.4799999</v>
      </c>
      <c r="L60" s="30">
        <f t="shared" si="30"/>
        <v>327272727.29999989</v>
      </c>
      <c r="M60" s="30">
        <f t="shared" si="30"/>
        <v>319090909.11999989</v>
      </c>
      <c r="N60" s="30">
        <f>M60-0</f>
        <v>319090909.11999989</v>
      </c>
      <c r="O60" s="30">
        <f>N60-4097500</f>
        <v>314993409.11999989</v>
      </c>
      <c r="P60" s="30">
        <f>O60-4097500</f>
        <v>310895909.11999989</v>
      </c>
      <c r="Q60" s="30">
        <f>P60-4097500</f>
        <v>306798409.11999989</v>
      </c>
      <c r="R60" s="30">
        <f>Q60-4097500</f>
        <v>302700909.11999989</v>
      </c>
      <c r="S60" s="35">
        <f t="shared" ref="S60" si="31">INDEX(G60:R60,COUNTA(G60:R60))</f>
        <v>302700909.11999989</v>
      </c>
      <c r="T60" s="35">
        <f>S60-F60</f>
        <v>-73662727.26000005</v>
      </c>
      <c r="U60" s="5"/>
    </row>
    <row r="61" spans="2:21" ht="19.5" customHeight="1" x14ac:dyDescent="0.25">
      <c r="B61" s="5"/>
      <c r="C61" s="6"/>
      <c r="D61" s="6"/>
      <c r="E61" s="43" t="s">
        <v>52</v>
      </c>
      <c r="F61" s="30">
        <f>348163435.69+80289086.56</f>
        <v>428452522.25</v>
      </c>
      <c r="G61" s="36">
        <f>348983900.66+80562124.85</f>
        <v>429546025.50999999</v>
      </c>
      <c r="H61" s="30">
        <f>341744344.98+80384958.16</f>
        <v>422129303.13999999</v>
      </c>
      <c r="I61" s="30">
        <f>342112795.42+80869218.26</f>
        <v>422982013.68000001</v>
      </c>
      <c r="J61" s="30">
        <f>342892769.33+342892769.33</f>
        <v>685785538.65999997</v>
      </c>
      <c r="K61" s="30">
        <f>343700753.69+81454604.61</f>
        <v>425155358.30000001</v>
      </c>
      <c r="L61" s="30">
        <f>344433889.41+81918117.62</f>
        <v>426352007.03000003</v>
      </c>
      <c r="M61" s="30">
        <f>345248556.09+82365227.13</f>
        <v>427613783.21999997</v>
      </c>
      <c r="N61" s="36">
        <f>345634767.17+82748559.41</f>
        <v>428383326.58000004</v>
      </c>
      <c r="O61" s="30">
        <f>82965159.96+346424813.08</f>
        <v>429389973.03999996</v>
      </c>
      <c r="P61" s="30">
        <f>347243126.68+83170496.58</f>
        <v>430413623.25999999</v>
      </c>
      <c r="Q61" s="30">
        <f>348036814.12+83241029.12</f>
        <v>431277843.24000001</v>
      </c>
      <c r="R61" s="30">
        <f>348858980.07+83610279.42</f>
        <v>432469259.49000001</v>
      </c>
      <c r="S61" s="35">
        <f>INDEX(G61:R61,COUNTA(G61:R61))</f>
        <v>432469259.49000001</v>
      </c>
      <c r="T61" s="35">
        <f>S61-F61</f>
        <v>4016737.2400000095</v>
      </c>
      <c r="U61" s="5"/>
    </row>
    <row r="62" spans="2:21" x14ac:dyDescent="0.25">
      <c r="B62" s="44"/>
      <c r="E62" s="6"/>
      <c r="F62" s="6"/>
      <c r="G62" s="7"/>
      <c r="H62" s="7"/>
      <c r="I62" s="7"/>
      <c r="J62" s="7"/>
      <c r="K62" s="7"/>
      <c r="L62" s="7"/>
      <c r="M62" s="5"/>
      <c r="N62" s="5"/>
      <c r="O62" s="5"/>
      <c r="P62" s="5"/>
      <c r="Q62" s="5"/>
      <c r="R62" s="29"/>
      <c r="S62" s="5"/>
      <c r="T62" s="45" t="s">
        <v>47</v>
      </c>
      <c r="U62" s="44"/>
    </row>
    <row r="63" spans="2:21" hidden="1" x14ac:dyDescent="0.25">
      <c r="E63" s="6"/>
      <c r="F63" s="6"/>
      <c r="G63" s="7"/>
      <c r="H63" s="7"/>
      <c r="I63" s="7"/>
      <c r="J63" s="7"/>
      <c r="K63" s="7"/>
      <c r="L63" s="7"/>
      <c r="M63" s="5"/>
      <c r="N63" s="5"/>
      <c r="O63" s="5"/>
      <c r="P63" s="5"/>
      <c r="Q63" s="5"/>
      <c r="R63" s="5"/>
      <c r="S63" s="5"/>
      <c r="T63" s="28"/>
    </row>
    <row r="64" spans="2:21" hidden="1" x14ac:dyDescent="0.25"/>
    <row r="65" spans="15:20" x14ac:dyDescent="0.25">
      <c r="O65" s="52"/>
      <c r="T65" s="72">
        <f>T61+8181818.18-1014240</f>
        <v>11184315.420000009</v>
      </c>
    </row>
  </sheetData>
  <mergeCells count="3">
    <mergeCell ref="E15:F16"/>
    <mergeCell ref="E19:F20"/>
    <mergeCell ref="E24:F25"/>
  </mergeCells>
  <printOptions horizontalCentered="1" verticalCentered="1"/>
  <pageMargins left="0" right="0" top="0" bottom="0" header="0" footer="0"/>
  <pageSetup paperSize="9" scale="52" orientation="landscape" r:id="rId1"/>
  <rowBreaks count="1" manualBreakCount="1">
    <brk id="49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Výběrové porovnání dat</vt:lpstr>
      <vt:lpstr>'Výběrové porovnání dat'!Print_Area</vt:lpstr>
      <vt:lpstr>'Výběrové porovnání dat'!Print_Titles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2015-07-15T08:36:47Z</dcterms:created>
  <dcterms:modified xsi:type="dcterms:W3CDTF">2017-01-30T12:06:19Z</dcterms:modified>
</cp:coreProperties>
</file>