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  <sheet name="Vyhod. hosp. PO -střediska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4" l="1"/>
  <c r="E6" i="4" l="1"/>
  <c r="E5" i="4"/>
  <c r="I4" i="4"/>
  <c r="R11" i="4"/>
  <c r="R10" i="4"/>
  <c r="M10" i="4"/>
  <c r="H10" i="4"/>
  <c r="R9" i="4"/>
  <c r="M9" i="4"/>
  <c r="E9" i="4"/>
  <c r="M8" i="4"/>
  <c r="H8" i="4"/>
  <c r="R7" i="4"/>
  <c r="M7" i="4"/>
  <c r="H7" i="4"/>
  <c r="R6" i="4"/>
  <c r="M6" i="4"/>
  <c r="H6" i="4"/>
  <c r="R5" i="4"/>
  <c r="M5" i="4"/>
  <c r="H5" i="4"/>
  <c r="R12" i="4"/>
  <c r="M12" i="4"/>
  <c r="H12" i="4"/>
  <c r="R4" i="4"/>
  <c r="M4" i="4"/>
  <c r="S4" i="4" s="1"/>
  <c r="T4" i="4" l="1"/>
  <c r="V4" i="4" s="1"/>
  <c r="U20" i="4"/>
  <c r="L42" i="3" l="1"/>
  <c r="I42" i="3"/>
  <c r="F42" i="3"/>
  <c r="L41" i="3"/>
  <c r="I41" i="3"/>
  <c r="F41" i="3"/>
  <c r="L40" i="3"/>
  <c r="I40" i="3"/>
  <c r="F40" i="3"/>
  <c r="K39" i="3"/>
  <c r="L39" i="3"/>
  <c r="H39" i="3"/>
  <c r="H34" i="3" s="1"/>
  <c r="G39" i="3"/>
  <c r="E39" i="3"/>
  <c r="E34" i="3" s="1"/>
  <c r="D39" i="3"/>
  <c r="L37" i="3"/>
  <c r="I37" i="3"/>
  <c r="F37" i="3"/>
  <c r="K35" i="3"/>
  <c r="J35" i="3"/>
  <c r="H35" i="3"/>
  <c r="G35" i="3"/>
  <c r="I35" i="3" s="1"/>
  <c r="E35" i="3"/>
  <c r="D35" i="3"/>
  <c r="F35" i="3" s="1"/>
  <c r="L33" i="3"/>
  <c r="I33" i="3"/>
  <c r="F33" i="3"/>
  <c r="L32" i="3"/>
  <c r="I32" i="3"/>
  <c r="F32" i="3"/>
  <c r="L31" i="3"/>
  <c r="I31" i="3"/>
  <c r="F31" i="3"/>
  <c r="L30" i="3"/>
  <c r="I30" i="3"/>
  <c r="F30" i="3"/>
  <c r="L29" i="3"/>
  <c r="I29" i="3"/>
  <c r="F29" i="3"/>
  <c r="L28" i="3"/>
  <c r="I28" i="3"/>
  <c r="F28" i="3"/>
  <c r="L27" i="3"/>
  <c r="I27" i="3"/>
  <c r="F27" i="3"/>
  <c r="L26" i="3"/>
  <c r="I26" i="3"/>
  <c r="F26" i="3"/>
  <c r="L25" i="3"/>
  <c r="I25" i="3"/>
  <c r="F25" i="3"/>
  <c r="L24" i="3"/>
  <c r="I24" i="3"/>
  <c r="F24" i="3"/>
  <c r="L23" i="3"/>
  <c r="I23" i="3"/>
  <c r="F23" i="3"/>
  <c r="K22" i="3"/>
  <c r="J22" i="3"/>
  <c r="H22" i="3"/>
  <c r="H36" i="3" s="1"/>
  <c r="H38" i="3" s="1"/>
  <c r="G22" i="3"/>
  <c r="E22" i="3"/>
  <c r="E36" i="3" s="1"/>
  <c r="E38" i="3" s="1"/>
  <c r="D22" i="3"/>
  <c r="L21" i="3"/>
  <c r="I21" i="3"/>
  <c r="F21" i="3"/>
  <c r="L20" i="3"/>
  <c r="I20" i="3"/>
  <c r="F20" i="3"/>
  <c r="L19" i="3"/>
  <c r="I19" i="3"/>
  <c r="F19" i="3"/>
  <c r="L18" i="3"/>
  <c r="I18" i="3"/>
  <c r="F18" i="3"/>
  <c r="L17" i="3"/>
  <c r="I17" i="3"/>
  <c r="F17" i="3"/>
  <c r="L16" i="3"/>
  <c r="I16" i="3"/>
  <c r="F16" i="3"/>
  <c r="L15" i="3"/>
  <c r="I15" i="3"/>
  <c r="F15" i="3"/>
  <c r="L14" i="3"/>
  <c r="I14" i="3"/>
  <c r="F14" i="3"/>
  <c r="I39" i="3" l="1"/>
  <c r="F22" i="3"/>
  <c r="F34" i="3"/>
  <c r="F39" i="3"/>
  <c r="G34" i="3"/>
  <c r="I34" i="3" s="1"/>
  <c r="L35" i="3"/>
  <c r="G36" i="3"/>
  <c r="K36" i="3"/>
  <c r="K38" i="3" s="1"/>
  <c r="J36" i="3"/>
  <c r="L22" i="3"/>
  <c r="L34" i="3"/>
  <c r="D36" i="3"/>
  <c r="I22" i="3"/>
  <c r="I36" i="3" l="1"/>
  <c r="G38" i="3"/>
  <c r="I38" i="3" s="1"/>
  <c r="L36" i="3"/>
  <c r="J38" i="3"/>
  <c r="L38" i="3" s="1"/>
  <c r="F36" i="3"/>
  <c r="D38" i="3"/>
  <c r="F38" i="3" s="1"/>
  <c r="R20" i="4" l="1"/>
  <c r="Q20" i="4"/>
  <c r="P20" i="4"/>
  <c r="O20" i="4"/>
  <c r="N20" i="4"/>
  <c r="M20" i="4"/>
  <c r="L20" i="4"/>
  <c r="K20" i="4"/>
  <c r="J20" i="4"/>
  <c r="G20" i="4"/>
  <c r="F20" i="4"/>
  <c r="E20" i="4"/>
  <c r="D20" i="4"/>
  <c r="C20" i="4"/>
  <c r="S19" i="4"/>
  <c r="I19" i="4"/>
  <c r="T19" i="4" s="1"/>
  <c r="V19" i="4" s="1"/>
  <c r="S18" i="4"/>
  <c r="I18" i="4"/>
  <c r="T18" i="4" s="1"/>
  <c r="V18" i="4" s="1"/>
  <c r="S17" i="4"/>
  <c r="I17" i="4"/>
  <c r="T17" i="4" s="1"/>
  <c r="V17" i="4" s="1"/>
  <c r="S16" i="4"/>
  <c r="I16" i="4"/>
  <c r="T16" i="4" s="1"/>
  <c r="V16" i="4" s="1"/>
  <c r="S15" i="4"/>
  <c r="I15" i="4"/>
  <c r="S14" i="4"/>
  <c r="I14" i="4"/>
  <c r="S13" i="4"/>
  <c r="I13" i="4"/>
  <c r="S12" i="4"/>
  <c r="I12" i="4"/>
  <c r="S11" i="4"/>
  <c r="I11" i="4"/>
  <c r="S10" i="4"/>
  <c r="I10" i="4"/>
  <c r="S9" i="4"/>
  <c r="I9" i="4"/>
  <c r="S8" i="4"/>
  <c r="I8" i="4"/>
  <c r="S7" i="4"/>
  <c r="S6" i="4"/>
  <c r="I6" i="4"/>
  <c r="S5" i="4"/>
  <c r="I5" i="4"/>
  <c r="T14" i="4" l="1"/>
  <c r="V14" i="4" s="1"/>
  <c r="T12" i="4"/>
  <c r="V12" i="4" s="1"/>
  <c r="T15" i="4"/>
  <c r="V15" i="4" s="1"/>
  <c r="T11" i="4"/>
  <c r="V11" i="4" s="1"/>
  <c r="T10" i="4"/>
  <c r="V10" i="4" s="1"/>
  <c r="T9" i="4"/>
  <c r="V9" i="4" s="1"/>
  <c r="T8" i="4"/>
  <c r="V8" i="4" s="1"/>
  <c r="T6" i="4"/>
  <c r="V6" i="4" s="1"/>
  <c r="T5" i="4"/>
  <c r="V5" i="4" s="1"/>
  <c r="S20" i="4"/>
  <c r="T13" i="4"/>
  <c r="V13" i="4" s="1"/>
  <c r="M15" i="3" l="1"/>
  <c r="M16" i="3"/>
  <c r="M17" i="3"/>
  <c r="M18" i="3"/>
  <c r="M19" i="3"/>
  <c r="M20" i="3"/>
  <c r="M21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42" i="3" l="1"/>
  <c r="M41" i="3"/>
  <c r="M40" i="3"/>
  <c r="M14" i="3"/>
  <c r="M39" i="3" l="1"/>
  <c r="M22" i="3" l="1"/>
  <c r="M37" i="3"/>
  <c r="M38" i="3" l="1"/>
  <c r="M36" i="3"/>
  <c r="H20" i="4"/>
  <c r="I7" i="4"/>
  <c r="I20" i="4" s="1"/>
  <c r="T20" i="4" s="1"/>
  <c r="V20" i="4" s="1"/>
  <c r="T7" i="4" l="1"/>
  <c r="V7" i="4" s="1"/>
</calcChain>
</file>

<file path=xl/sharedStrings.xml><?xml version="1.0" encoding="utf-8"?>
<sst xmlns="http://schemas.openxmlformats.org/spreadsheetml/2006/main" count="130" uniqueCount="104">
  <si>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</si>
  <si>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</si>
  <si>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</si>
  <si>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</si>
  <si>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</si>
  <si>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</si>
  <si>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</si>
  <si>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</si>
  <si>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</si>
  <si>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</si>
  <si>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</si>
  <si>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</si>
  <si>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</si>
  <si>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</si>
  <si>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</si>
  <si>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</si>
  <si>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</si>
  <si>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</si>
  <si>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</si>
  <si>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</si>
  <si>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</si>
  <si>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</si>
  <si>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</si>
  <si>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</si>
  <si>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</si>
  <si>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</si>
  <si>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</si>
  <si>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</si>
  <si>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</si>
  <si>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</si>
  <si>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</si>
  <si>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</si>
  <si>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</si>
  <si>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</si>
  <si>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</si>
  <si>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</si>
  <si>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</si>
  <si>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</si>
  <si>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</si>
  <si>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</si>
  <si>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</si>
  <si>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</si>
  <si>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</si>
  <si>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</si>
  <si>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</si>
  <si>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</si>
  <si>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</si>
  <si>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</si>
  <si>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</si>
  <si>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</si>
  <si>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</si>
  <si>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</si>
  <si>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</si>
  <si>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A) Provozní hospodaření</t>
  </si>
  <si>
    <t>Název organizace:</t>
  </si>
  <si>
    <t>IČO:</t>
  </si>
  <si>
    <t>Sídlo:</t>
  </si>
  <si>
    <t>sl.4</t>
  </si>
  <si>
    <t>sl.3+sl.4</t>
  </si>
  <si>
    <t>Příspěvek zřizovatele - provozní</t>
  </si>
  <si>
    <t>Příspěvek zřizovatele - účelový (s vyúčtováním)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</si>
  <si>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</si>
  <si>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</si>
  <si>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</si>
  <si>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</si>
  <si>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</si>
  <si>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</si>
  <si>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</si>
  <si>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</si>
  <si>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</si>
  <si>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</si>
  <si>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</si>
  <si>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</si>
  <si>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</si>
  <si>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</si>
  <si>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</si>
  <si>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Rozpočet na rok X</t>
  </si>
  <si>
    <t>Poslední upr rozpočet X</t>
  </si>
  <si>
    <t>Skutečnost X</t>
  </si>
  <si>
    <t>v %</t>
  </si>
  <si>
    <t>SK X / UR X</t>
  </si>
  <si>
    <t>Tržby  601-609</t>
  </si>
  <si>
    <t>Středisko</t>
  </si>
  <si>
    <t>Příspěvek zřizovatele - pouze účelový (s vyúčtováním)</t>
  </si>
  <si>
    <t>Provozní dotace z jiných zdrojů (jiní poskytovatelé než SMCH)</t>
  </si>
  <si>
    <t>Provozní dotace z jiných zdrojů (mimo SMCH)</t>
  </si>
  <si>
    <t>Sociální služby Chomutov, příspěvková organizace</t>
  </si>
  <si>
    <t>Písečná 5030, 430 04 Chomutov</t>
  </si>
  <si>
    <t>Jméno: Ing. Ivana Vomáčková, finanční manažerka</t>
  </si>
  <si>
    <t>Jméno: Mgr. Alena Tölgová, ředitelka</t>
  </si>
  <si>
    <t>DpS Písečná</t>
  </si>
  <si>
    <t>CDS Bezručova</t>
  </si>
  <si>
    <t>DOZP Písečná</t>
  </si>
  <si>
    <t>DSOZP Písečná</t>
  </si>
  <si>
    <t>DS Písečná</t>
  </si>
  <si>
    <t>AD Písečná</t>
  </si>
  <si>
    <t>SP Písečná</t>
  </si>
  <si>
    <t>ředitelství</t>
  </si>
  <si>
    <t>DÚ</t>
  </si>
  <si>
    <t>ostatní činnosti</t>
  </si>
  <si>
    <t>Vyhodnocení hospodaření podle rozpočtu za rok 2018</t>
  </si>
  <si>
    <t>Sestavil dne: 3.4.2019</t>
  </si>
  <si>
    <t>Schválil dne: 3.4.2019</t>
  </si>
  <si>
    <t>Jesle Písečná/Dět.sk. Kamenná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</si>
</sst>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1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22" xfId="0" applyBorder="1"/>
    <xf numFmtId="0" fontId="0" fillId="0" borderId="2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/>
    <xf numFmtId="0" fontId="4" fillId="0" borderId="26" xfId="0" applyFont="1" applyBorder="1"/>
    <xf numFmtId="0" fontId="0" fillId="0" borderId="26" xfId="0" applyBorder="1"/>
    <xf numFmtId="0" fontId="0" fillId="0" borderId="26" xfId="0" applyBorder="1" applyAlignment="1">
      <alignment horizontal="left" indent="5"/>
    </xf>
    <xf numFmtId="0" fontId="1" fillId="0" borderId="26" xfId="0" applyFont="1" applyBorder="1"/>
    <xf numFmtId="0" fontId="1" fillId="0" borderId="29" xfId="0" applyFont="1" applyBorder="1" applyAlignment="1">
      <alignment horizontal="center"/>
    </xf>
    <xf numFmtId="0" fontId="1" fillId="0" borderId="4" xfId="0" applyFont="1" applyBorder="1"/>
    <xf numFmtId="164" fontId="2" fillId="0" borderId="19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8" xfId="0" applyNumberFormat="1" applyFont="1" applyBorder="1" applyAlignment="1">
      <alignment horizontal="right"/>
    </xf>
    <xf numFmtId="164" fontId="0" fillId="0" borderId="30" xfId="0" applyNumberFormat="1" applyBorder="1"/>
    <xf numFmtId="164" fontId="0" fillId="0" borderId="31" xfId="0" applyNumberFormat="1" applyBorder="1"/>
    <xf numFmtId="164" fontId="2" fillId="0" borderId="32" xfId="0" applyNumberFormat="1" applyFont="1" applyBorder="1" applyAlignment="1">
      <alignment horizontal="right"/>
    </xf>
    <xf numFmtId="0" fontId="1" fillId="0" borderId="28" xfId="0" applyFont="1" applyBorder="1" applyAlignment="1">
      <alignment horizontal="left"/>
    </xf>
    <xf numFmtId="164" fontId="1" fillId="0" borderId="14" xfId="0" applyNumberFormat="1" applyFont="1" applyBorder="1"/>
    <xf numFmtId="164" fontId="2" fillId="0" borderId="33" xfId="0" applyNumberFormat="1" applyFont="1" applyBorder="1" applyAlignment="1">
      <alignment horizontal="right"/>
    </xf>
    <xf numFmtId="0" fontId="1" fillId="0" borderId="24" xfId="0" applyFont="1" applyBorder="1"/>
    <xf numFmtId="164" fontId="1" fillId="0" borderId="12" xfId="0" applyNumberFormat="1" applyFont="1" applyBorder="1"/>
    <xf numFmtId="164" fontId="5" fillId="0" borderId="7" xfId="0" applyNumberFormat="1" applyFont="1" applyBorder="1" applyAlignment="1">
      <alignment horizontal="right"/>
    </xf>
    <xf numFmtId="0" fontId="0" fillId="0" borderId="28" xfId="0" applyBorder="1" applyAlignment="1">
      <alignment horizontal="left" indent="5"/>
    </xf>
    <xf numFmtId="164" fontId="0" fillId="0" borderId="14" xfId="0" applyNumberFormat="1" applyBorder="1"/>
    <xf numFmtId="164" fontId="0" fillId="0" borderId="9" xfId="0" applyNumberFormat="1" applyBorder="1"/>
    <xf numFmtId="0" fontId="1" fillId="0" borderId="2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0" fillId="0" borderId="28" xfId="0" applyBorder="1" applyAlignment="1">
      <alignment horizontal="center"/>
    </xf>
    <xf numFmtId="10" fontId="0" fillId="0" borderId="0" xfId="0" applyNumberFormat="1" applyFont="1"/>
    <xf numFmtId="10" fontId="1" fillId="0" borderId="24" xfId="0" applyNumberFormat="1" applyFont="1" applyBorder="1" applyAlignment="1">
      <alignment horizontal="center"/>
    </xf>
    <xf numFmtId="10" fontId="1" fillId="0" borderId="27" xfId="0" applyNumberFormat="1" applyFont="1" applyBorder="1" applyAlignment="1">
      <alignment horizontal="center" vertical="center" wrapText="1"/>
    </xf>
    <xf numFmtId="10" fontId="2" fillId="0" borderId="24" xfId="0" applyNumberFormat="1" applyFont="1" applyBorder="1" applyAlignment="1">
      <alignment horizontal="center"/>
    </xf>
    <xf numFmtId="10" fontId="6" fillId="0" borderId="26" xfId="0" applyNumberFormat="1" applyFont="1" applyBorder="1"/>
    <xf numFmtId="10" fontId="6" fillId="0" borderId="24" xfId="0" applyNumberFormat="1" applyFont="1" applyBorder="1"/>
    <xf numFmtId="10" fontId="6" fillId="0" borderId="28" xfId="0" applyNumberFormat="1" applyFont="1" applyBorder="1"/>
    <xf numFmtId="10" fontId="6" fillId="0" borderId="34" xfId="0" applyNumberFormat="1" applyFont="1" applyBorder="1"/>
    <xf numFmtId="0" fontId="7" fillId="0" borderId="26" xfId="0" applyFont="1" applyBorder="1"/>
    <xf numFmtId="0" fontId="7" fillId="0" borderId="26" xfId="0" applyFont="1" applyBorder="1" applyAlignment="1">
      <alignment horizontal="left" indent="5"/>
    </xf>
    <xf numFmtId="14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0" fillId="0" borderId="30" xfId="0" applyBorder="1" applyAlignment="1">
      <alignment horizontal="center" textRotation="90" wrapText="1"/>
    </xf>
    <xf numFmtId="0" fontId="7" fillId="0" borderId="31" xfId="0" applyFont="1" applyBorder="1" applyAlignment="1">
      <alignment horizontal="center" textRotation="90" wrapText="1"/>
    </xf>
    <xf numFmtId="0" fontId="4" fillId="0" borderId="31" xfId="0" applyFont="1" applyBorder="1" applyAlignment="1">
      <alignment horizontal="center" textRotation="90" wrapText="1"/>
    </xf>
    <xf numFmtId="0" fontId="0" fillId="0" borderId="31" xfId="0" applyBorder="1" applyAlignment="1">
      <alignment horizontal="center" textRotation="90" wrapText="1"/>
    </xf>
    <xf numFmtId="0" fontId="1" fillId="2" borderId="4" xfId="0" applyFont="1" applyFill="1" applyBorder="1" applyAlignment="1">
      <alignment horizontal="center" textRotation="90" wrapText="1"/>
    </xf>
    <xf numFmtId="0" fontId="0" fillId="0" borderId="31" xfId="0" applyFill="1" applyBorder="1" applyAlignment="1">
      <alignment horizontal="center" textRotation="90" wrapText="1"/>
    </xf>
    <xf numFmtId="0" fontId="0" fillId="0" borderId="35" xfId="0" applyFill="1" applyBorder="1" applyAlignment="1">
      <alignment horizontal="center" textRotation="90" wrapText="1"/>
    </xf>
    <xf numFmtId="0" fontId="1" fillId="3" borderId="4" xfId="0" applyFont="1" applyFill="1" applyBorder="1" applyAlignment="1">
      <alignment horizontal="center" textRotation="90" wrapText="1"/>
    </xf>
    <xf numFmtId="0" fontId="1" fillId="4" borderId="4" xfId="0" applyFont="1" applyFill="1" applyBorder="1" applyAlignment="1">
      <alignment horizontal="center" textRotation="90" wrapText="1"/>
    </xf>
    <xf numFmtId="0" fontId="0" fillId="0" borderId="0" xfId="0" applyAlignment="1">
      <alignment textRotation="90"/>
    </xf>
    <xf numFmtId="0" fontId="0" fillId="0" borderId="36" xfId="0" applyBorder="1"/>
    <xf numFmtId="164" fontId="0" fillId="0" borderId="19" xfId="0" applyNumberFormat="1" applyBorder="1"/>
    <xf numFmtId="164" fontId="0" fillId="0" borderId="17" xfId="0" applyNumberFormat="1" applyBorder="1"/>
    <xf numFmtId="164" fontId="0" fillId="0" borderId="16" xfId="0" applyNumberFormat="1" applyBorder="1"/>
    <xf numFmtId="164" fontId="0" fillId="2" borderId="24" xfId="0" applyNumberFormat="1" applyFill="1" applyBorder="1"/>
    <xf numFmtId="164" fontId="0" fillId="2" borderId="36" xfId="0" applyNumberFormat="1" applyFill="1" applyBorder="1"/>
    <xf numFmtId="164" fontId="0" fillId="3" borderId="36" xfId="0" applyNumberFormat="1" applyFill="1" applyBorder="1"/>
    <xf numFmtId="164" fontId="1" fillId="4" borderId="36" xfId="0" applyNumberFormat="1" applyFont="1" applyFill="1" applyBorder="1"/>
    <xf numFmtId="164" fontId="0" fillId="0" borderId="2" xfId="0" applyNumberFormat="1" applyBorder="1"/>
    <xf numFmtId="0" fontId="0" fillId="0" borderId="27" xfId="0" applyBorder="1"/>
    <xf numFmtId="164" fontId="0" fillId="0" borderId="37" xfId="0" applyNumberFormat="1" applyBorder="1"/>
    <xf numFmtId="164" fontId="0" fillId="0" borderId="38" xfId="0" applyNumberFormat="1" applyBorder="1"/>
    <xf numFmtId="164" fontId="0" fillId="0" borderId="21" xfId="0" applyNumberFormat="1" applyBorder="1"/>
    <xf numFmtId="164" fontId="0" fillId="3" borderId="25" xfId="0" applyNumberFormat="1" applyFill="1" applyBorder="1"/>
    <xf numFmtId="164" fontId="1" fillId="4" borderId="25" xfId="0" applyNumberFormat="1" applyFont="1" applyFill="1" applyBorder="1"/>
    <xf numFmtId="164" fontId="0" fillId="0" borderId="39" xfId="0" applyNumberFormat="1" applyBorder="1"/>
    <xf numFmtId="164" fontId="0" fillId="2" borderId="4" xfId="0" applyNumberFormat="1" applyFill="1" applyBorder="1"/>
    <xf numFmtId="164" fontId="0" fillId="3" borderId="4" xfId="0" applyNumberFormat="1" applyFill="1" applyBorder="1"/>
    <xf numFmtId="164" fontId="1" fillId="4" borderId="4" xfId="0" applyNumberFormat="1" applyFont="1" applyFill="1" applyBorder="1"/>
    <xf numFmtId="0" fontId="8" fillId="5" borderId="26" xfId="0" applyFont="1" applyFill="1" applyBorder="1"/>
    <xf numFmtId="0" fontId="7" fillId="0" borderId="26" xfId="0" applyFont="1" applyBorder="1" applyAlignment="1">
      <alignment horizontal="left"/>
    </xf>
    <xf numFmtId="0" fontId="8" fillId="5" borderId="4" xfId="0" applyFont="1" applyFill="1" applyBorder="1" applyAlignment="1">
      <alignment horizontal="center" textRotation="90" wrapText="1"/>
    </xf>
    <xf numFmtId="164" fontId="0" fillId="5" borderId="36" xfId="0" applyNumberFormat="1" applyFill="1" applyBorder="1"/>
    <xf numFmtId="164" fontId="0" fillId="5" borderId="26" xfId="0" applyNumberFormat="1" applyFill="1" applyBorder="1"/>
    <xf numFmtId="164" fontId="0" fillId="5" borderId="27" xfId="0" applyNumberFormat="1" applyFill="1" applyBorder="1"/>
    <xf numFmtId="164" fontId="1" fillId="2" borderId="1" xfId="0" applyNumberFormat="1" applyFont="1" applyFill="1" applyBorder="1"/>
    <xf numFmtId="164" fontId="0" fillId="5" borderId="4" xfId="0" applyNumberFormat="1" applyFill="1" applyBorder="1"/>
    <xf numFmtId="10" fontId="6" fillId="0" borderId="26" xfId="0" applyNumberFormat="1" applyFont="1" applyFill="1" applyBorder="1"/>
    <xf numFmtId="0" fontId="0" fillId="0" borderId="0" xfId="0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left" wrapText="1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J24" sqref="J2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50.5703125" bestFit="1" customWidth="1"/>
    <col min="4" max="12" width="11.7109375" customWidth="1"/>
    <col min="13" max="13" width="11.7109375" style="49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100</v>
      </c>
    </row>
    <row r="4" spans="2:13" x14ac:dyDescent="0.25"/>
    <row r="5" spans="2:13" x14ac:dyDescent="0.25">
      <c r="B5" t="s">
        <v>54</v>
      </c>
      <c r="D5" t="s">
        <v>86</v>
      </c>
    </row>
    <row r="6" spans="2:13" x14ac:dyDescent="0.25">
      <c r="B6" t="s">
        <v>55</v>
      </c>
      <c r="D6" s="99">
        <v>46789944</v>
      </c>
    </row>
    <row r="7" spans="2:13" x14ac:dyDescent="0.25">
      <c r="B7" t="s">
        <v>56</v>
      </c>
      <c r="D7" t="s">
        <v>87</v>
      </c>
    </row>
    <row r="8" spans="2:13" x14ac:dyDescent="0.25"/>
    <row r="9" spans="2:13" x14ac:dyDescent="0.25">
      <c r="B9" s="1" t="s">
        <v>53</v>
      </c>
    </row>
    <row r="10" spans="2:13" ht="15.75" thickBot="1" x14ac:dyDescent="0.3">
      <c r="E10">
        <v>2018</v>
      </c>
      <c r="H10">
        <v>2018</v>
      </c>
      <c r="K10" s="59">
        <v>43465</v>
      </c>
    </row>
    <row r="11" spans="2:13" x14ac:dyDescent="0.25">
      <c r="B11" s="100" t="s">
        <v>40</v>
      </c>
      <c r="C11" s="102" t="s">
        <v>41</v>
      </c>
      <c r="D11" s="104" t="s">
        <v>76</v>
      </c>
      <c r="E11" s="105"/>
      <c r="F11" s="106"/>
      <c r="G11" s="107" t="s">
        <v>77</v>
      </c>
      <c r="H11" s="105"/>
      <c r="I11" s="108"/>
      <c r="J11" s="104" t="s">
        <v>78</v>
      </c>
      <c r="K11" s="105"/>
      <c r="L11" s="108"/>
      <c r="M11" s="50"/>
    </row>
    <row r="12" spans="2:13" ht="30.75" thickBot="1" x14ac:dyDescent="0.3">
      <c r="B12" s="101"/>
      <c r="C12" s="103"/>
      <c r="D12" s="7" t="s">
        <v>42</v>
      </c>
      <c r="E12" s="8" t="s">
        <v>43</v>
      </c>
      <c r="F12" s="9" t="s">
        <v>44</v>
      </c>
      <c r="G12" s="10" t="s">
        <v>42</v>
      </c>
      <c r="H12" s="8" t="s">
        <v>43</v>
      </c>
      <c r="I12" s="11" t="s">
        <v>44</v>
      </c>
      <c r="J12" s="7" t="s">
        <v>42</v>
      </c>
      <c r="K12" s="8" t="s">
        <v>43</v>
      </c>
      <c r="L12" s="11" t="s">
        <v>44</v>
      </c>
      <c r="M12" s="51" t="s">
        <v>79</v>
      </c>
    </row>
    <row r="13" spans="2:13" x14ac:dyDescent="0.25">
      <c r="B13" s="15"/>
      <c r="C13" s="18" t="s">
        <v>45</v>
      </c>
      <c r="D13" s="12" t="s">
        <v>46</v>
      </c>
      <c r="E13" s="13" t="s">
        <v>47</v>
      </c>
      <c r="F13" s="14" t="s">
        <v>49</v>
      </c>
      <c r="G13" s="5" t="s">
        <v>48</v>
      </c>
      <c r="H13" s="4" t="s">
        <v>57</v>
      </c>
      <c r="I13" s="6" t="s">
        <v>58</v>
      </c>
      <c r="J13" s="3" t="s">
        <v>67</v>
      </c>
      <c r="K13" s="4" t="s">
        <v>68</v>
      </c>
      <c r="L13" s="6" t="s">
        <v>69</v>
      </c>
      <c r="M13" s="52" t="s">
        <v>80</v>
      </c>
    </row>
    <row r="14" spans="2:13" x14ac:dyDescent="0.25">
      <c r="B14" s="16" t="s">
        <v>0</v>
      </c>
      <c r="C14" s="19" t="s">
        <v>81</v>
      </c>
      <c r="D14" s="26">
        <v>48267</v>
      </c>
      <c r="E14" s="27"/>
      <c r="F14" s="28">
        <f>D14+E14</f>
        <v>48267</v>
      </c>
      <c r="G14" s="26">
        <v>49278</v>
      </c>
      <c r="H14" s="27"/>
      <c r="I14" s="28">
        <f>G14+H14</f>
        <v>49278</v>
      </c>
      <c r="J14" s="26">
        <v>49763</v>
      </c>
      <c r="K14" s="27">
        <v>147.26</v>
      </c>
      <c r="L14" s="28">
        <f>J14+K14</f>
        <v>49910.26</v>
      </c>
      <c r="M14" s="53">
        <f>L14/I14</f>
        <v>1.0128304720159098</v>
      </c>
    </row>
    <row r="15" spans="2:13" x14ac:dyDescent="0.25">
      <c r="B15" s="16" t="s">
        <v>1</v>
      </c>
      <c r="C15" s="57" t="s">
        <v>60</v>
      </c>
      <c r="D15" s="29"/>
      <c r="E15" s="30"/>
      <c r="F15" s="28">
        <f t="shared" ref="F15:F42" si="0">D15+E15</f>
        <v>0</v>
      </c>
      <c r="G15" s="29">
        <v>175</v>
      </c>
      <c r="H15" s="30"/>
      <c r="I15" s="28">
        <f t="shared" ref="I15:I37" si="1">G15+H15</f>
        <v>175</v>
      </c>
      <c r="J15" s="29">
        <v>175</v>
      </c>
      <c r="K15" s="30"/>
      <c r="L15" s="28">
        <f t="shared" ref="L15:L37" si="2">J15+K15</f>
        <v>175</v>
      </c>
      <c r="M15" s="53">
        <f t="shared" ref="M15:M38" si="3">L15/I15</f>
        <v>1</v>
      </c>
    </row>
    <row r="16" spans="2:13" x14ac:dyDescent="0.25">
      <c r="B16" s="16" t="s">
        <v>3</v>
      </c>
      <c r="C16" s="91" t="s">
        <v>85</v>
      </c>
      <c r="D16" s="26">
        <v>36396</v>
      </c>
      <c r="E16" s="27"/>
      <c r="F16" s="28">
        <f t="shared" si="0"/>
        <v>36396</v>
      </c>
      <c r="G16" s="26">
        <v>35363.67</v>
      </c>
      <c r="H16" s="27"/>
      <c r="I16" s="28">
        <f t="shared" si="1"/>
        <v>35363.67</v>
      </c>
      <c r="J16" s="26">
        <v>35024.839999999997</v>
      </c>
      <c r="K16" s="27"/>
      <c r="L16" s="28">
        <f t="shared" si="2"/>
        <v>35024.839999999997</v>
      </c>
      <c r="M16" s="53">
        <f t="shared" si="3"/>
        <v>0.99041869805933602</v>
      </c>
    </row>
    <row r="17" spans="2:13" x14ac:dyDescent="0.25">
      <c r="B17" s="16" t="s">
        <v>5</v>
      </c>
      <c r="C17" s="57" t="s">
        <v>61</v>
      </c>
      <c r="D17" s="26"/>
      <c r="E17" s="27"/>
      <c r="F17" s="28">
        <f t="shared" si="0"/>
        <v>0</v>
      </c>
      <c r="G17" s="26"/>
      <c r="H17" s="27"/>
      <c r="I17" s="28">
        <f t="shared" si="1"/>
        <v>0</v>
      </c>
      <c r="J17" s="26"/>
      <c r="K17" s="27"/>
      <c r="L17" s="28">
        <f t="shared" si="2"/>
        <v>0</v>
      </c>
      <c r="M17" s="53" t="e">
        <f t="shared" si="3"/>
        <v>#DIV/0!</v>
      </c>
    </row>
    <row r="18" spans="2:13" x14ac:dyDescent="0.25">
      <c r="B18" s="16" t="s">
        <v>7</v>
      </c>
      <c r="C18" s="20" t="s">
        <v>62</v>
      </c>
      <c r="D18" s="26"/>
      <c r="E18" s="27"/>
      <c r="F18" s="28">
        <f t="shared" si="0"/>
        <v>0</v>
      </c>
      <c r="G18" s="26"/>
      <c r="H18" s="27"/>
      <c r="I18" s="28">
        <f t="shared" si="1"/>
        <v>0</v>
      </c>
      <c r="J18" s="26"/>
      <c r="K18" s="27"/>
      <c r="L18" s="28">
        <f t="shared" si="2"/>
        <v>0</v>
      </c>
      <c r="M18" s="53" t="e">
        <f t="shared" si="3"/>
        <v>#DIV/0!</v>
      </c>
    </row>
    <row r="19" spans="2:13" x14ac:dyDescent="0.25">
      <c r="B19" s="16" t="s">
        <v>9</v>
      </c>
      <c r="C19" s="21" t="s">
        <v>2</v>
      </c>
      <c r="D19" s="29">
        <v>154</v>
      </c>
      <c r="E19" s="30">
        <v>40</v>
      </c>
      <c r="F19" s="28">
        <f t="shared" si="0"/>
        <v>194</v>
      </c>
      <c r="G19" s="29">
        <v>1166.05</v>
      </c>
      <c r="H19" s="30">
        <v>40</v>
      </c>
      <c r="I19" s="28">
        <f t="shared" si="1"/>
        <v>1206.05</v>
      </c>
      <c r="J19" s="29">
        <v>1517.04</v>
      </c>
      <c r="K19" s="30">
        <v>26.9</v>
      </c>
      <c r="L19" s="28">
        <f t="shared" si="2"/>
        <v>1543.94</v>
      </c>
      <c r="M19" s="53">
        <f t="shared" si="3"/>
        <v>1.2801625139919572</v>
      </c>
    </row>
    <row r="20" spans="2:13" x14ac:dyDescent="0.25">
      <c r="B20" s="16" t="s">
        <v>11</v>
      </c>
      <c r="C20" s="21" t="s">
        <v>4</v>
      </c>
      <c r="D20" s="29"/>
      <c r="E20" s="30">
        <v>40</v>
      </c>
      <c r="F20" s="28">
        <f t="shared" si="0"/>
        <v>40</v>
      </c>
      <c r="G20" s="29"/>
      <c r="H20" s="30">
        <v>40</v>
      </c>
      <c r="I20" s="28">
        <f t="shared" si="1"/>
        <v>40</v>
      </c>
      <c r="J20" s="29"/>
      <c r="K20" s="30">
        <v>25.92</v>
      </c>
      <c r="L20" s="28">
        <f t="shared" si="2"/>
        <v>25.92</v>
      </c>
      <c r="M20" s="53">
        <f t="shared" si="3"/>
        <v>0.64800000000000002</v>
      </c>
    </row>
    <row r="21" spans="2:13" x14ac:dyDescent="0.25">
      <c r="B21" s="16" t="s">
        <v>13</v>
      </c>
      <c r="C21" s="22" t="s">
        <v>6</v>
      </c>
      <c r="D21" s="29"/>
      <c r="E21" s="30"/>
      <c r="F21" s="28">
        <f t="shared" si="0"/>
        <v>0</v>
      </c>
      <c r="G21" s="29"/>
      <c r="H21" s="30"/>
      <c r="I21" s="28">
        <f t="shared" si="1"/>
        <v>0</v>
      </c>
      <c r="J21" s="29"/>
      <c r="K21" s="30"/>
      <c r="L21" s="28">
        <f t="shared" si="2"/>
        <v>0</v>
      </c>
      <c r="M21" s="53" t="e">
        <f t="shared" si="3"/>
        <v>#DIV/0!</v>
      </c>
    </row>
    <row r="22" spans="2:13" x14ac:dyDescent="0.25">
      <c r="B22" s="17" t="s">
        <v>15</v>
      </c>
      <c r="C22" s="23" t="s">
        <v>8</v>
      </c>
      <c r="D22" s="31">
        <f>SUM(D14:D19)</f>
        <v>84817</v>
      </c>
      <c r="E22" s="31">
        <f>SUM(E14:E19)</f>
        <v>40</v>
      </c>
      <c r="F22" s="32">
        <f>D22+E22</f>
        <v>84857</v>
      </c>
      <c r="G22" s="31">
        <f>SUM(G14:G19)</f>
        <v>85982.720000000001</v>
      </c>
      <c r="H22" s="31">
        <f>SUM(H14:H19)</f>
        <v>40</v>
      </c>
      <c r="I22" s="32">
        <f t="shared" si="1"/>
        <v>86022.720000000001</v>
      </c>
      <c r="J22" s="31">
        <f>SUM(J14:J19)</f>
        <v>86479.87999999999</v>
      </c>
      <c r="K22" s="31">
        <f>SUM(K14:K19)</f>
        <v>174.16</v>
      </c>
      <c r="L22" s="32">
        <f t="shared" si="2"/>
        <v>86654.04</v>
      </c>
      <c r="M22" s="53">
        <f t="shared" si="3"/>
        <v>1.0073389913734416</v>
      </c>
    </row>
    <row r="23" spans="2:13" x14ac:dyDescent="0.25">
      <c r="B23" s="16" t="s">
        <v>17</v>
      </c>
      <c r="C23" s="21" t="s">
        <v>10</v>
      </c>
      <c r="D23" s="29">
        <v>883</v>
      </c>
      <c r="E23" s="30"/>
      <c r="F23" s="28">
        <f t="shared" si="0"/>
        <v>883</v>
      </c>
      <c r="G23" s="29">
        <v>1067</v>
      </c>
      <c r="H23" s="30"/>
      <c r="I23" s="28">
        <f t="shared" si="1"/>
        <v>1067</v>
      </c>
      <c r="J23" s="29">
        <v>1425.68</v>
      </c>
      <c r="K23" s="30"/>
      <c r="L23" s="28">
        <f t="shared" si="2"/>
        <v>1425.68</v>
      </c>
      <c r="M23" s="98">
        <f t="shared" si="3"/>
        <v>1.3361574507966261</v>
      </c>
    </row>
    <row r="24" spans="2:13" x14ac:dyDescent="0.25">
      <c r="B24" s="16" t="s">
        <v>19</v>
      </c>
      <c r="C24" s="21" t="s">
        <v>12</v>
      </c>
      <c r="D24" s="29">
        <v>12967</v>
      </c>
      <c r="E24" s="30"/>
      <c r="F24" s="28">
        <f t="shared" si="0"/>
        <v>12967</v>
      </c>
      <c r="G24" s="29">
        <v>13466.83</v>
      </c>
      <c r="H24" s="30"/>
      <c r="I24" s="28">
        <f t="shared" si="1"/>
        <v>13466.83</v>
      </c>
      <c r="J24" s="29">
        <v>13732.95</v>
      </c>
      <c r="K24" s="30">
        <v>1.36</v>
      </c>
      <c r="L24" s="28">
        <f t="shared" si="2"/>
        <v>13734.310000000001</v>
      </c>
      <c r="M24" s="98">
        <f t="shared" si="3"/>
        <v>1.0198621353354873</v>
      </c>
    </row>
    <row r="25" spans="2:13" x14ac:dyDescent="0.25">
      <c r="B25" s="16" t="s">
        <v>20</v>
      </c>
      <c r="C25" s="21" t="s">
        <v>14</v>
      </c>
      <c r="D25" s="29">
        <v>8970</v>
      </c>
      <c r="E25" s="30"/>
      <c r="F25" s="28">
        <f t="shared" si="0"/>
        <v>8970</v>
      </c>
      <c r="G25" s="29">
        <v>8780.82</v>
      </c>
      <c r="H25" s="30"/>
      <c r="I25" s="28">
        <f t="shared" si="1"/>
        <v>8780.82</v>
      </c>
      <c r="J25" s="29">
        <v>8217.84</v>
      </c>
      <c r="K25" s="30"/>
      <c r="L25" s="28">
        <f t="shared" si="2"/>
        <v>8217.84</v>
      </c>
      <c r="M25" s="98">
        <f t="shared" si="3"/>
        <v>0.93588525900770092</v>
      </c>
    </row>
    <row r="26" spans="2:13" x14ac:dyDescent="0.25">
      <c r="B26" s="16" t="s">
        <v>22</v>
      </c>
      <c r="C26" s="21" t="s">
        <v>16</v>
      </c>
      <c r="D26" s="29">
        <v>5264</v>
      </c>
      <c r="E26" s="30"/>
      <c r="F26" s="28">
        <f t="shared" si="0"/>
        <v>5264</v>
      </c>
      <c r="G26" s="29">
        <v>5407.73</v>
      </c>
      <c r="H26" s="30"/>
      <c r="I26" s="28">
        <f t="shared" si="1"/>
        <v>5407.73</v>
      </c>
      <c r="J26" s="29">
        <v>5519.26</v>
      </c>
      <c r="K26" s="30"/>
      <c r="L26" s="28">
        <f t="shared" si="2"/>
        <v>5519.26</v>
      </c>
      <c r="M26" s="98">
        <f t="shared" si="3"/>
        <v>1.0206241805711456</v>
      </c>
    </row>
    <row r="27" spans="2:13" x14ac:dyDescent="0.25">
      <c r="B27" s="16" t="s">
        <v>24</v>
      </c>
      <c r="C27" s="21" t="s">
        <v>18</v>
      </c>
      <c r="D27" s="29">
        <v>54833</v>
      </c>
      <c r="E27" s="30"/>
      <c r="F27" s="28">
        <f t="shared" si="0"/>
        <v>54833</v>
      </c>
      <c r="G27" s="29">
        <v>55217</v>
      </c>
      <c r="H27" s="30"/>
      <c r="I27" s="28">
        <f t="shared" si="1"/>
        <v>55217</v>
      </c>
      <c r="J27" s="29">
        <v>55688.74</v>
      </c>
      <c r="K27" s="30">
        <v>62.7</v>
      </c>
      <c r="L27" s="28">
        <f t="shared" si="2"/>
        <v>55751.439999999995</v>
      </c>
      <c r="M27" s="98">
        <f t="shared" si="3"/>
        <v>1.009678903236322</v>
      </c>
    </row>
    <row r="28" spans="2:13" x14ac:dyDescent="0.25">
      <c r="B28" s="16" t="s">
        <v>26</v>
      </c>
      <c r="C28" s="57" t="s">
        <v>50</v>
      </c>
      <c r="D28" s="29">
        <v>54683</v>
      </c>
      <c r="E28" s="30"/>
      <c r="F28" s="28">
        <f t="shared" si="0"/>
        <v>54683</v>
      </c>
      <c r="G28" s="29">
        <v>55149.5</v>
      </c>
      <c r="H28" s="30"/>
      <c r="I28" s="28">
        <f t="shared" si="1"/>
        <v>55149.5</v>
      </c>
      <c r="J28" s="29">
        <v>55169.9</v>
      </c>
      <c r="K28" s="30"/>
      <c r="L28" s="28">
        <f t="shared" si="2"/>
        <v>55169.9</v>
      </c>
      <c r="M28" s="98">
        <f t="shared" si="3"/>
        <v>1.0003699036255995</v>
      </c>
    </row>
    <row r="29" spans="2:13" x14ac:dyDescent="0.25">
      <c r="B29" s="16" t="s">
        <v>28</v>
      </c>
      <c r="C29" s="58" t="s">
        <v>21</v>
      </c>
      <c r="D29" s="29">
        <v>150</v>
      </c>
      <c r="E29" s="30"/>
      <c r="F29" s="28">
        <f t="shared" si="0"/>
        <v>150</v>
      </c>
      <c r="G29" s="29">
        <v>67.5</v>
      </c>
      <c r="H29" s="30"/>
      <c r="I29" s="28">
        <f t="shared" si="1"/>
        <v>67.5</v>
      </c>
      <c r="J29" s="29">
        <v>518.79</v>
      </c>
      <c r="K29" s="30">
        <v>62.7</v>
      </c>
      <c r="L29" s="28">
        <f t="shared" si="2"/>
        <v>581.49</v>
      </c>
      <c r="M29" s="98">
        <f t="shared" si="3"/>
        <v>8.6146666666666665</v>
      </c>
    </row>
    <row r="30" spans="2:13" x14ac:dyDescent="0.25">
      <c r="B30" s="16" t="s">
        <v>30</v>
      </c>
      <c r="C30" s="21" t="s">
        <v>23</v>
      </c>
      <c r="D30" s="29">
        <v>18747</v>
      </c>
      <c r="E30" s="30"/>
      <c r="F30" s="28">
        <f t="shared" si="0"/>
        <v>18747</v>
      </c>
      <c r="G30" s="29">
        <v>18853.599999999999</v>
      </c>
      <c r="H30" s="30"/>
      <c r="I30" s="28">
        <f t="shared" si="1"/>
        <v>18853.599999999999</v>
      </c>
      <c r="J30" s="29">
        <v>18635.14</v>
      </c>
      <c r="K30" s="30">
        <v>21.32</v>
      </c>
      <c r="L30" s="28">
        <f t="shared" si="2"/>
        <v>18656.46</v>
      </c>
      <c r="M30" s="98">
        <f t="shared" si="3"/>
        <v>0.98954364153265162</v>
      </c>
    </row>
    <row r="31" spans="2:13" x14ac:dyDescent="0.25">
      <c r="B31" s="16" t="s">
        <v>32</v>
      </c>
      <c r="C31" s="21" t="s">
        <v>25</v>
      </c>
      <c r="D31" s="29">
        <v>2</v>
      </c>
      <c r="E31" s="30"/>
      <c r="F31" s="28">
        <f t="shared" si="0"/>
        <v>2</v>
      </c>
      <c r="G31" s="29">
        <v>2</v>
      </c>
      <c r="H31" s="30"/>
      <c r="I31" s="28">
        <f t="shared" si="1"/>
        <v>2</v>
      </c>
      <c r="J31" s="29">
        <v>3.31</v>
      </c>
      <c r="K31" s="30"/>
      <c r="L31" s="28">
        <f t="shared" si="2"/>
        <v>3.31</v>
      </c>
      <c r="M31" s="98">
        <f t="shared" si="3"/>
        <v>1.655</v>
      </c>
    </row>
    <row r="32" spans="2:13" x14ac:dyDescent="0.25">
      <c r="B32" s="16" t="s">
        <v>33</v>
      </c>
      <c r="C32" s="21" t="s">
        <v>27</v>
      </c>
      <c r="D32" s="29">
        <v>619</v>
      </c>
      <c r="E32" s="30"/>
      <c r="F32" s="28">
        <f t="shared" si="0"/>
        <v>619</v>
      </c>
      <c r="G32" s="29">
        <v>487</v>
      </c>
      <c r="H32" s="30"/>
      <c r="I32" s="28">
        <f t="shared" si="1"/>
        <v>487</v>
      </c>
      <c r="J32" s="29">
        <v>487.06</v>
      </c>
      <c r="K32" s="30"/>
      <c r="L32" s="28">
        <f t="shared" si="2"/>
        <v>487.06</v>
      </c>
      <c r="M32" s="98">
        <f t="shared" si="3"/>
        <v>1.000123203285421</v>
      </c>
    </row>
    <row r="33" spans="2:13" x14ac:dyDescent="0.25">
      <c r="B33" s="16" t="s">
        <v>35</v>
      </c>
      <c r="C33" s="21" t="s">
        <v>29</v>
      </c>
      <c r="D33" s="29">
        <v>3572</v>
      </c>
      <c r="E33" s="30"/>
      <c r="F33" s="28">
        <f t="shared" si="0"/>
        <v>3572</v>
      </c>
      <c r="G33" s="29">
        <v>3740.74</v>
      </c>
      <c r="H33" s="30"/>
      <c r="I33" s="28">
        <f t="shared" si="1"/>
        <v>3740.74</v>
      </c>
      <c r="J33" s="29">
        <v>3442.1</v>
      </c>
      <c r="K33" s="30">
        <v>4.8</v>
      </c>
      <c r="L33" s="28">
        <f t="shared" si="2"/>
        <v>3446.9</v>
      </c>
      <c r="M33" s="98">
        <f t="shared" si="3"/>
        <v>0.92144869731657375</v>
      </c>
    </row>
    <row r="34" spans="2:13" x14ac:dyDescent="0.25">
      <c r="B34" s="16" t="s">
        <v>36</v>
      </c>
      <c r="C34" s="21" t="s">
        <v>75</v>
      </c>
      <c r="D34" s="29">
        <v>223.6</v>
      </c>
      <c r="E34" s="29">
        <f>E39</f>
        <v>0</v>
      </c>
      <c r="F34" s="28">
        <f>D34+E34</f>
        <v>223.6</v>
      </c>
      <c r="G34" s="29">
        <f>G39</f>
        <v>225</v>
      </c>
      <c r="H34" s="29">
        <f>H39</f>
        <v>0</v>
      </c>
      <c r="I34" s="28">
        <f t="shared" si="1"/>
        <v>225</v>
      </c>
      <c r="J34" s="29">
        <v>225</v>
      </c>
      <c r="K34" s="29"/>
      <c r="L34" s="28">
        <f t="shared" si="2"/>
        <v>225</v>
      </c>
      <c r="M34" s="98">
        <f t="shared" si="3"/>
        <v>1</v>
      </c>
    </row>
    <row r="35" spans="2:13" x14ac:dyDescent="0.25">
      <c r="B35" s="17" t="s">
        <v>38</v>
      </c>
      <c r="C35" s="23" t="s">
        <v>31</v>
      </c>
      <c r="D35" s="31">
        <f>SUM(D23:D27)+SUM(D30:D33)</f>
        <v>105857</v>
      </c>
      <c r="E35" s="31">
        <f>SUM(E23:E27)+SUM(E30:E33)</f>
        <v>0</v>
      </c>
      <c r="F35" s="32">
        <f>D35+E35</f>
        <v>105857</v>
      </c>
      <c r="G35" s="31">
        <f>SUM(G23:G27)+SUM(G30:G33)</f>
        <v>107022.72</v>
      </c>
      <c r="H35" s="31">
        <f>SUM(H23:H27)+SUM(H30:H33)</f>
        <v>0</v>
      </c>
      <c r="I35" s="32">
        <f>G35+H35</f>
        <v>107022.72</v>
      </c>
      <c r="J35" s="31">
        <f>SUM(J23:J27)+SUM(J30:J33)</f>
        <v>107152.08</v>
      </c>
      <c r="K35" s="31">
        <f>SUM(K23:K27)+SUM(K30:K33)</f>
        <v>90.18</v>
      </c>
      <c r="L35" s="32">
        <f>J35+K35</f>
        <v>107242.26</v>
      </c>
      <c r="M35" s="53">
        <f t="shared" si="3"/>
        <v>1.0020513401266571</v>
      </c>
    </row>
    <row r="36" spans="2:13" x14ac:dyDescent="0.25">
      <c r="B36" s="17" t="s">
        <v>63</v>
      </c>
      <c r="C36" s="23" t="s">
        <v>70</v>
      </c>
      <c r="D36" s="31">
        <f>D22-D35</f>
        <v>-21040</v>
      </c>
      <c r="E36" s="31">
        <f>E22-E35</f>
        <v>40</v>
      </c>
      <c r="F36" s="32">
        <f t="shared" si="0"/>
        <v>-21000</v>
      </c>
      <c r="G36" s="31">
        <f>G22-G35</f>
        <v>-21040</v>
      </c>
      <c r="H36" s="31">
        <f>H22-H35</f>
        <v>40</v>
      </c>
      <c r="I36" s="32">
        <f t="shared" si="1"/>
        <v>-21000</v>
      </c>
      <c r="J36" s="31">
        <f>J22-J35</f>
        <v>-20672.200000000012</v>
      </c>
      <c r="K36" s="31">
        <f>K22-K35</f>
        <v>83.97999999999999</v>
      </c>
      <c r="L36" s="32">
        <f t="shared" si="2"/>
        <v>-20588.220000000012</v>
      </c>
      <c r="M36" s="53">
        <f t="shared" si="3"/>
        <v>0.98039142857142914</v>
      </c>
    </row>
    <row r="37" spans="2:13" x14ac:dyDescent="0.25">
      <c r="B37" s="17" t="s">
        <v>64</v>
      </c>
      <c r="C37" s="90" t="s">
        <v>59</v>
      </c>
      <c r="D37" s="31">
        <v>21000</v>
      </c>
      <c r="E37" s="96"/>
      <c r="F37" s="32">
        <f t="shared" si="0"/>
        <v>21000</v>
      </c>
      <c r="G37" s="31">
        <v>21000</v>
      </c>
      <c r="H37" s="96"/>
      <c r="I37" s="32">
        <f t="shared" si="1"/>
        <v>21000</v>
      </c>
      <c r="J37" s="31">
        <v>20672.2</v>
      </c>
      <c r="K37" s="96"/>
      <c r="L37" s="32">
        <f t="shared" si="2"/>
        <v>20672.2</v>
      </c>
      <c r="M37" s="53">
        <f t="shared" si="3"/>
        <v>0.98439047619047626</v>
      </c>
    </row>
    <row r="38" spans="2:13" ht="15.75" thickBot="1" x14ac:dyDescent="0.3">
      <c r="B38" s="24" t="s">
        <v>65</v>
      </c>
      <c r="C38" s="36" t="s">
        <v>74</v>
      </c>
      <c r="D38" s="37">
        <f>D36+D37</f>
        <v>-40</v>
      </c>
      <c r="E38" s="37">
        <f>E36+E37</f>
        <v>40</v>
      </c>
      <c r="F38" s="38">
        <f>D38+E38</f>
        <v>0</v>
      </c>
      <c r="G38" s="37">
        <f>G36+G37</f>
        <v>-40</v>
      </c>
      <c r="H38" s="37">
        <f>H36+H37</f>
        <v>40</v>
      </c>
      <c r="I38" s="38">
        <f>G38+H38</f>
        <v>0</v>
      </c>
      <c r="J38" s="37">
        <f>J36+J37</f>
        <v>0</v>
      </c>
      <c r="K38" s="37">
        <f>K36+K37</f>
        <v>83.97999999999999</v>
      </c>
      <c r="L38" s="38">
        <f>J38+K38</f>
        <v>83.97999999999999</v>
      </c>
      <c r="M38" s="53" t="e">
        <f t="shared" si="3"/>
        <v>#DIV/0!</v>
      </c>
    </row>
    <row r="39" spans="2:13" x14ac:dyDescent="0.25">
      <c r="B39" s="45" t="s">
        <v>66</v>
      </c>
      <c r="C39" s="39" t="s">
        <v>34</v>
      </c>
      <c r="D39" s="40">
        <f>SUM(D40:D41)</f>
        <v>223.6</v>
      </c>
      <c r="E39" s="40">
        <f>SUM(E40:E41)</f>
        <v>0</v>
      </c>
      <c r="F39" s="41">
        <f t="shared" si="0"/>
        <v>223.6</v>
      </c>
      <c r="G39" s="40">
        <f>SUM(G40:G41)</f>
        <v>225</v>
      </c>
      <c r="H39" s="40">
        <f>SUM(H40:H41)</f>
        <v>0</v>
      </c>
      <c r="I39" s="41">
        <f t="shared" ref="I39:I42" si="4">G39+H39</f>
        <v>225</v>
      </c>
      <c r="J39" s="40">
        <v>225</v>
      </c>
      <c r="K39" s="40">
        <f>SUM(K40:K41)</f>
        <v>0</v>
      </c>
      <c r="L39" s="41">
        <f t="shared" ref="L39:L42" si="5">J39+K39</f>
        <v>225</v>
      </c>
      <c r="M39" s="54">
        <f t="shared" ref="M39:M42" si="6">IF(I39=0,"",L39/I39)</f>
        <v>1</v>
      </c>
    </row>
    <row r="40" spans="2:13" x14ac:dyDescent="0.25">
      <c r="B40" s="46" t="s">
        <v>71</v>
      </c>
      <c r="C40" s="21" t="s">
        <v>51</v>
      </c>
      <c r="D40" s="29">
        <v>0</v>
      </c>
      <c r="E40" s="30"/>
      <c r="F40" s="28">
        <f t="shared" si="0"/>
        <v>0</v>
      </c>
      <c r="G40" s="29">
        <v>0</v>
      </c>
      <c r="H40" s="30"/>
      <c r="I40" s="28">
        <f t="shared" si="4"/>
        <v>0</v>
      </c>
      <c r="J40" s="29">
        <v>0</v>
      </c>
      <c r="K40" s="30"/>
      <c r="L40" s="28">
        <f t="shared" si="5"/>
        <v>0</v>
      </c>
      <c r="M40" s="53" t="str">
        <f t="shared" si="6"/>
        <v/>
      </c>
    </row>
    <row r="41" spans="2:13" ht="15.75" thickBot="1" x14ac:dyDescent="0.3">
      <c r="B41" s="48" t="s">
        <v>72</v>
      </c>
      <c r="C41" s="42" t="s">
        <v>37</v>
      </c>
      <c r="D41" s="43">
        <v>223.6</v>
      </c>
      <c r="E41" s="44"/>
      <c r="F41" s="38">
        <f t="shared" si="0"/>
        <v>223.6</v>
      </c>
      <c r="G41" s="43">
        <v>225</v>
      </c>
      <c r="H41" s="44"/>
      <c r="I41" s="38">
        <f t="shared" si="4"/>
        <v>225</v>
      </c>
      <c r="J41" s="43">
        <v>225</v>
      </c>
      <c r="K41" s="44"/>
      <c r="L41" s="38">
        <f t="shared" si="5"/>
        <v>225</v>
      </c>
      <c r="M41" s="55">
        <f t="shared" si="6"/>
        <v>1</v>
      </c>
    </row>
    <row r="42" spans="2:13" ht="15.75" thickBot="1" x14ac:dyDescent="0.3">
      <c r="B42" s="47" t="s">
        <v>73</v>
      </c>
      <c r="C42" s="25" t="s">
        <v>39</v>
      </c>
      <c r="D42" s="33"/>
      <c r="E42" s="34"/>
      <c r="F42" s="35">
        <f t="shared" si="0"/>
        <v>0</v>
      </c>
      <c r="G42" s="33"/>
      <c r="H42" s="34"/>
      <c r="I42" s="35">
        <f t="shared" si="4"/>
        <v>0</v>
      </c>
      <c r="J42" s="33"/>
      <c r="K42" s="34"/>
      <c r="L42" s="35">
        <f t="shared" si="5"/>
        <v>0</v>
      </c>
      <c r="M42" s="56" t="str">
        <f t="shared" si="6"/>
        <v/>
      </c>
    </row>
    <row r="43" spans="2:13" x14ac:dyDescent="0.25"/>
    <row r="44" spans="2:13" x14ac:dyDescent="0.25">
      <c r="M44"/>
    </row>
    <row r="45" spans="2:13" x14ac:dyDescent="0.25">
      <c r="M45"/>
    </row>
    <row r="46" spans="2:13" x14ac:dyDescent="0.25">
      <c r="B46" t="s">
        <v>101</v>
      </c>
      <c r="D46" t="s">
        <v>88</v>
      </c>
      <c r="J46" t="s">
        <v>52</v>
      </c>
      <c r="M46"/>
    </row>
    <row r="47" spans="2:13" x14ac:dyDescent="0.25">
      <c r="M47"/>
    </row>
    <row r="48" spans="2:13" x14ac:dyDescent="0.25">
      <c r="B48" t="s">
        <v>102</v>
      </c>
      <c r="D48" t="s">
        <v>89</v>
      </c>
      <c r="J48" t="s">
        <v>52</v>
      </c>
      <c r="M48"/>
    </row>
    <row r="49" spans="13:13" x14ac:dyDescent="0.25">
      <c r="M49"/>
    </row>
    <row r="50" spans="13:13" x14ac:dyDescent="0.25"/>
    <row r="51" spans="13:13" x14ac:dyDescent="0.25"/>
    <row r="52" spans="13:13" x14ac:dyDescent="0.25"/>
    <row r="53" spans="13:13" x14ac:dyDescent="0.25"/>
    <row r="54" spans="13:13" x14ac:dyDescent="0.25"/>
    <row r="55" spans="13:13" x14ac:dyDescent="0.25"/>
    <row r="56" spans="13:13" x14ac:dyDescent="0.25"/>
    <row r="57" spans="13:13" x14ac:dyDescent="0.25"/>
    <row r="58" spans="13:13" x14ac:dyDescent="0.25"/>
    <row r="59" spans="13:13" x14ac:dyDescent="0.25"/>
    <row r="60" spans="13:13" x14ac:dyDescent="0.25"/>
    <row r="61" spans="13:13" x14ac:dyDescent="0.25"/>
    <row r="62" spans="13:13" x14ac:dyDescent="0.25"/>
    <row r="63" spans="13:13" x14ac:dyDescent="0.25"/>
    <row r="64" spans="13:13" x14ac:dyDescent="0.25"/>
    <row r="65" x14ac:dyDescent="0.25"/>
    <row r="66" x14ac:dyDescent="0.25"/>
    <row r="67" x14ac:dyDescent="0.25"/>
    <row r="68" x14ac:dyDescent="0.25"/>
  </sheetData>
  <mergeCells count="5"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" right="0.7" top="0.78740157499999996" bottom="0.78740157499999996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W23"/>
  <sheetViews>
    <sheetView workbookViewId="0">
      <selection activeCell="R9" sqref="R9"/>
    </sheetView>
  </sheetViews>
  <sheetFormatPr defaultRowHeight="15" x14ac:dyDescent="0.25"/>
  <cols>
    <col min="1" max="1" width="2.7109375" customWidth="1"/>
    <col min="2" max="2" width="28.140625" customWidth="1"/>
  </cols>
  <sheetData>
    <row r="2" spans="2:23" ht="15.75" thickBot="1" x14ac:dyDescent="0.3"/>
    <row r="3" spans="2:23" ht="179.25" customHeight="1" thickBot="1" x14ac:dyDescent="0.3">
      <c r="B3" s="60" t="s">
        <v>82</v>
      </c>
      <c r="C3" s="61" t="s">
        <v>81</v>
      </c>
      <c r="D3" s="62" t="s">
        <v>83</v>
      </c>
      <c r="E3" s="62" t="s">
        <v>84</v>
      </c>
      <c r="F3" s="62" t="s">
        <v>61</v>
      </c>
      <c r="G3" s="63" t="s">
        <v>62</v>
      </c>
      <c r="H3" s="64" t="s">
        <v>2</v>
      </c>
      <c r="I3" s="65" t="s">
        <v>8</v>
      </c>
      <c r="J3" s="61" t="s">
        <v>10</v>
      </c>
      <c r="K3" s="64" t="s">
        <v>12</v>
      </c>
      <c r="L3" s="64" t="s">
        <v>14</v>
      </c>
      <c r="M3" s="64" t="s">
        <v>16</v>
      </c>
      <c r="N3" s="64" t="s">
        <v>18</v>
      </c>
      <c r="O3" s="64" t="s">
        <v>23</v>
      </c>
      <c r="P3" s="64" t="s">
        <v>25</v>
      </c>
      <c r="Q3" s="66" t="s">
        <v>27</v>
      </c>
      <c r="R3" s="67" t="s">
        <v>29</v>
      </c>
      <c r="S3" s="65" t="s">
        <v>31</v>
      </c>
      <c r="T3" s="68" t="s">
        <v>70</v>
      </c>
      <c r="U3" s="92" t="s">
        <v>59</v>
      </c>
      <c r="V3" s="69" t="s">
        <v>74</v>
      </c>
      <c r="W3" s="70"/>
    </row>
    <row r="4" spans="2:23" x14ac:dyDescent="0.25">
      <c r="B4" s="71" t="s">
        <v>90</v>
      </c>
      <c r="C4" s="72">
        <v>33206.449999999997</v>
      </c>
      <c r="D4" s="73">
        <v>20</v>
      </c>
      <c r="E4" s="73">
        <v>19668.919999999998</v>
      </c>
      <c r="F4" s="73"/>
      <c r="G4" s="73">
        <v>19.82</v>
      </c>
      <c r="H4" s="74">
        <v>646.54999999999995</v>
      </c>
      <c r="I4" s="75">
        <f>SUM(C4:H4)</f>
        <v>53561.74</v>
      </c>
      <c r="J4" s="72">
        <v>723.22</v>
      </c>
      <c r="K4" s="73">
        <v>7591.55</v>
      </c>
      <c r="L4" s="73">
        <v>4561.72</v>
      </c>
      <c r="M4" s="73">
        <f>9.21+125.29+2417.39</f>
        <v>2551.89</v>
      </c>
      <c r="N4" s="73">
        <v>29659.57</v>
      </c>
      <c r="O4" s="73">
        <v>9869.26</v>
      </c>
      <c r="P4" s="73">
        <v>1.56</v>
      </c>
      <c r="Q4" s="73">
        <v>191.97</v>
      </c>
      <c r="R4" s="73">
        <f>123.88+946.81+255.7+340.73+0.08</f>
        <v>1667.2</v>
      </c>
      <c r="S4" s="76">
        <f>SUM(J4:R4)</f>
        <v>56817.939999999995</v>
      </c>
      <c r="T4" s="77">
        <f>I4-S4</f>
        <v>-3256.1999999999971</v>
      </c>
      <c r="U4" s="93">
        <v>3261.1</v>
      </c>
      <c r="V4" s="78">
        <f>T4+U4</f>
        <v>4.9000000000028194</v>
      </c>
    </row>
    <row r="5" spans="2:23" x14ac:dyDescent="0.25">
      <c r="B5" s="21" t="s">
        <v>91</v>
      </c>
      <c r="C5" s="29">
        <v>7697.94</v>
      </c>
      <c r="D5" s="30">
        <v>70</v>
      </c>
      <c r="E5" s="30">
        <f>70+2697.71</f>
        <v>2767.71</v>
      </c>
      <c r="F5" s="30"/>
      <c r="G5" s="30">
        <v>1.5</v>
      </c>
      <c r="H5" s="79">
        <f>305.96+0.06</f>
        <v>306.02</v>
      </c>
      <c r="I5" s="76">
        <f t="shared" ref="I5:I19" si="0">SUM(C5:H5)</f>
        <v>10843.17</v>
      </c>
      <c r="J5" s="29">
        <v>202.15</v>
      </c>
      <c r="K5" s="30">
        <v>3535.6</v>
      </c>
      <c r="L5" s="30">
        <v>1615.49</v>
      </c>
      <c r="M5" s="30">
        <f>1.51+3.1+484.38</f>
        <v>488.99</v>
      </c>
      <c r="N5" s="30">
        <v>8668.08</v>
      </c>
      <c r="O5" s="30">
        <v>2898.04</v>
      </c>
      <c r="P5" s="30">
        <v>0.39</v>
      </c>
      <c r="Q5" s="30">
        <v>125.38</v>
      </c>
      <c r="R5" s="30">
        <f>30.46+207.7+46.74+120.84</f>
        <v>405.74</v>
      </c>
      <c r="S5" s="76">
        <f t="shared" ref="S5:S19" si="1">SUM(J5:R5)</f>
        <v>17939.86</v>
      </c>
      <c r="T5" s="77">
        <f t="shared" ref="T5:T20" si="2">I5-S5</f>
        <v>-7096.6900000000005</v>
      </c>
      <c r="U5" s="94">
        <v>7108.1</v>
      </c>
      <c r="V5" s="78">
        <f t="shared" ref="V5:V20" si="3">T5+U5</f>
        <v>11.409999999999854</v>
      </c>
    </row>
    <row r="6" spans="2:23" x14ac:dyDescent="0.25">
      <c r="B6" s="21" t="s">
        <v>92</v>
      </c>
      <c r="C6" s="29">
        <v>7010.51</v>
      </c>
      <c r="D6" s="30">
        <v>65</v>
      </c>
      <c r="E6" s="30">
        <f>65+6096</f>
        <v>6161</v>
      </c>
      <c r="F6" s="30"/>
      <c r="G6" s="30">
        <v>9.23</v>
      </c>
      <c r="H6" s="79">
        <f>333.94+0.02+0.22</f>
        <v>334.18</v>
      </c>
      <c r="I6" s="76">
        <f t="shared" si="0"/>
        <v>13579.92</v>
      </c>
      <c r="J6" s="29">
        <v>167.18</v>
      </c>
      <c r="K6" s="30">
        <v>1581.63</v>
      </c>
      <c r="L6" s="30">
        <v>573.71</v>
      </c>
      <c r="M6" s="30">
        <f>5.27+41.92+1269.89</f>
        <v>1317.0800000000002</v>
      </c>
      <c r="N6" s="30">
        <v>9181.6299999999992</v>
      </c>
      <c r="O6" s="30">
        <v>3100.8</v>
      </c>
      <c r="P6" s="30">
        <v>0.42</v>
      </c>
      <c r="Q6" s="30">
        <v>124.53</v>
      </c>
      <c r="R6" s="30">
        <f>39.46+270.34+365.74+123.25+0.04</f>
        <v>798.82999999999993</v>
      </c>
      <c r="S6" s="76">
        <f t="shared" si="1"/>
        <v>16845.809999999998</v>
      </c>
      <c r="T6" s="77">
        <f t="shared" si="2"/>
        <v>-3265.8899999999976</v>
      </c>
      <c r="U6" s="94">
        <v>3265.9</v>
      </c>
      <c r="V6" s="78">
        <f t="shared" si="3"/>
        <v>1.0000000002492015E-2</v>
      </c>
    </row>
    <row r="7" spans="2:23" x14ac:dyDescent="0.25">
      <c r="B7" s="21" t="s">
        <v>93</v>
      </c>
      <c r="C7" s="29">
        <v>333.44</v>
      </c>
      <c r="D7" s="30"/>
      <c r="E7" s="30">
        <v>519.29999999999995</v>
      </c>
      <c r="F7" s="30"/>
      <c r="G7" s="30">
        <v>0.1</v>
      </c>
      <c r="H7" s="79">
        <f>7.08+0.01</f>
        <v>7.09</v>
      </c>
      <c r="I7" s="76">
        <f t="shared" si="0"/>
        <v>859.93000000000006</v>
      </c>
      <c r="J7" s="29">
        <v>2.93</v>
      </c>
      <c r="K7" s="30">
        <v>132.16</v>
      </c>
      <c r="L7" s="30">
        <v>76.47</v>
      </c>
      <c r="M7" s="30">
        <f>0.68+0.57+11.76</f>
        <v>13.01</v>
      </c>
      <c r="N7" s="30">
        <v>883.55</v>
      </c>
      <c r="O7" s="30">
        <v>299.57</v>
      </c>
      <c r="P7" s="30">
        <v>0.01</v>
      </c>
      <c r="Q7" s="30">
        <v>0.75</v>
      </c>
      <c r="R7" s="30">
        <f>2.61+19.95+0.81+30.9</f>
        <v>54.269999999999996</v>
      </c>
      <c r="S7" s="76">
        <f t="shared" si="1"/>
        <v>1462.7199999999998</v>
      </c>
      <c r="T7" s="77">
        <f t="shared" si="2"/>
        <v>-602.78999999999974</v>
      </c>
      <c r="U7" s="94">
        <v>602.79</v>
      </c>
      <c r="V7" s="78">
        <f t="shared" si="3"/>
        <v>0</v>
      </c>
    </row>
    <row r="8" spans="2:23" x14ac:dyDescent="0.25">
      <c r="B8" s="21" t="s">
        <v>103</v>
      </c>
      <c r="C8" s="29">
        <v>438.35</v>
      </c>
      <c r="D8" s="30"/>
      <c r="E8" s="30">
        <v>26.61</v>
      </c>
      <c r="F8" s="30"/>
      <c r="G8" s="30">
        <v>3.8</v>
      </c>
      <c r="H8" s="79">
        <f>57.27+0.15</f>
        <v>57.42</v>
      </c>
      <c r="I8" s="76">
        <f t="shared" si="0"/>
        <v>526.18000000000006</v>
      </c>
      <c r="J8" s="29">
        <v>35.42</v>
      </c>
      <c r="K8" s="30">
        <v>444.72</v>
      </c>
      <c r="L8" s="30">
        <v>375.15</v>
      </c>
      <c r="M8" s="30">
        <f>1.05+9.32+214.52</f>
        <v>224.89000000000001</v>
      </c>
      <c r="N8" s="30">
        <v>1731.62</v>
      </c>
      <c r="O8" s="30">
        <v>584.86</v>
      </c>
      <c r="P8" s="30">
        <v>0.18</v>
      </c>
      <c r="Q8" s="30">
        <v>24.13</v>
      </c>
      <c r="R8" s="30">
        <f>9.45+83.5+1+19.06+0.02+5.64</f>
        <v>118.67</v>
      </c>
      <c r="S8" s="76">
        <f t="shared" si="1"/>
        <v>3539.6400000000003</v>
      </c>
      <c r="T8" s="77">
        <f t="shared" si="2"/>
        <v>-3013.46</v>
      </c>
      <c r="U8" s="94">
        <v>3013.48</v>
      </c>
      <c r="V8" s="78">
        <f t="shared" si="3"/>
        <v>1.999999999998181E-2</v>
      </c>
    </row>
    <row r="9" spans="2:23" x14ac:dyDescent="0.25">
      <c r="B9" s="21" t="s">
        <v>94</v>
      </c>
      <c r="C9" s="29">
        <v>55.88</v>
      </c>
      <c r="D9" s="30"/>
      <c r="E9" s="30">
        <f>15.31+556</f>
        <v>571.30999999999995</v>
      </c>
      <c r="F9" s="30"/>
      <c r="G9" s="30">
        <v>0.09</v>
      </c>
      <c r="H9" s="79">
        <v>11.25</v>
      </c>
      <c r="I9" s="76">
        <f t="shared" si="0"/>
        <v>638.53</v>
      </c>
      <c r="J9" s="29">
        <v>2.72</v>
      </c>
      <c r="K9" s="30">
        <v>13.07</v>
      </c>
      <c r="L9" s="30">
        <v>48.99</v>
      </c>
      <c r="M9" s="30">
        <f>0.04+0.19+7.05</f>
        <v>7.28</v>
      </c>
      <c r="N9" s="30">
        <v>557.26</v>
      </c>
      <c r="O9" s="30">
        <v>189.2</v>
      </c>
      <c r="P9" s="30">
        <v>0.01</v>
      </c>
      <c r="Q9" s="30"/>
      <c r="R9" s="30">
        <f>1.36+13.6+0.93</f>
        <v>15.889999999999999</v>
      </c>
      <c r="S9" s="76">
        <f t="shared" si="1"/>
        <v>834.42</v>
      </c>
      <c r="T9" s="77">
        <f t="shared" si="2"/>
        <v>-195.89</v>
      </c>
      <c r="U9" s="94">
        <v>195.89</v>
      </c>
      <c r="V9" s="78">
        <f t="shared" si="3"/>
        <v>0</v>
      </c>
    </row>
    <row r="10" spans="2:23" x14ac:dyDescent="0.25">
      <c r="B10" s="21" t="s">
        <v>95</v>
      </c>
      <c r="C10" s="29">
        <v>970.82</v>
      </c>
      <c r="D10" s="30">
        <v>20</v>
      </c>
      <c r="E10" s="30">
        <v>2585.7399999999998</v>
      </c>
      <c r="F10" s="30"/>
      <c r="G10" s="30"/>
      <c r="H10" s="79">
        <f>16.76+0.24</f>
        <v>17</v>
      </c>
      <c r="I10" s="76">
        <f t="shared" si="0"/>
        <v>3593.56</v>
      </c>
      <c r="J10" s="29">
        <v>127.73</v>
      </c>
      <c r="K10" s="30">
        <v>223.72</v>
      </c>
      <c r="L10" s="30">
        <v>798.09</v>
      </c>
      <c r="M10" s="30">
        <f>2.42+7.56+396.8</f>
        <v>406.78000000000003</v>
      </c>
      <c r="N10" s="30">
        <v>2886.8</v>
      </c>
      <c r="O10" s="30">
        <v>973.51</v>
      </c>
      <c r="P10" s="30">
        <v>0.36</v>
      </c>
      <c r="Q10" s="30">
        <v>19.54</v>
      </c>
      <c r="R10" s="30">
        <f>15.33+100.69+24.46+102.3+0.04</f>
        <v>242.81999999999996</v>
      </c>
      <c r="S10" s="76">
        <f t="shared" si="1"/>
        <v>5679.3499999999995</v>
      </c>
      <c r="T10" s="77">
        <f t="shared" si="2"/>
        <v>-2085.7899999999995</v>
      </c>
      <c r="U10" s="94">
        <v>2085.8000000000002</v>
      </c>
      <c r="V10" s="78">
        <f t="shared" si="3"/>
        <v>1.0000000000673026E-2</v>
      </c>
    </row>
    <row r="11" spans="2:23" x14ac:dyDescent="0.25">
      <c r="B11" s="21" t="s">
        <v>96</v>
      </c>
      <c r="C11" s="29"/>
      <c r="D11" s="30"/>
      <c r="E11" s="30">
        <v>2724.2</v>
      </c>
      <c r="F11" s="30"/>
      <c r="G11" s="30"/>
      <c r="H11" s="79"/>
      <c r="I11" s="76">
        <f t="shared" si="0"/>
        <v>2724.2</v>
      </c>
      <c r="J11" s="29"/>
      <c r="K11" s="30">
        <v>57.56</v>
      </c>
      <c r="L11" s="30">
        <v>100.68</v>
      </c>
      <c r="M11" s="30">
        <v>240.28</v>
      </c>
      <c r="N11" s="30">
        <v>1826.26</v>
      </c>
      <c r="O11" s="30">
        <v>607.08000000000004</v>
      </c>
      <c r="P11" s="30"/>
      <c r="Q11" s="30"/>
      <c r="R11" s="30">
        <f>7.74+50.03+0.28+23.46</f>
        <v>81.510000000000005</v>
      </c>
      <c r="S11" s="76">
        <f t="shared" si="1"/>
        <v>2913.37</v>
      </c>
      <c r="T11" s="77">
        <f t="shared" si="2"/>
        <v>-189.17000000000007</v>
      </c>
      <c r="U11" s="94">
        <v>189.18</v>
      </c>
      <c r="V11" s="78">
        <f t="shared" si="3"/>
        <v>9.9999999999340616E-3</v>
      </c>
    </row>
    <row r="12" spans="2:23" x14ac:dyDescent="0.25">
      <c r="B12" s="21" t="s">
        <v>99</v>
      </c>
      <c r="C12" s="29">
        <v>93.29</v>
      </c>
      <c r="D12" s="30"/>
      <c r="E12" s="30"/>
      <c r="F12" s="30"/>
      <c r="G12" s="30"/>
      <c r="H12" s="79">
        <f>103.21+0.01</f>
        <v>103.22</v>
      </c>
      <c r="I12" s="76">
        <f t="shared" si="0"/>
        <v>196.51</v>
      </c>
      <c r="J12" s="29">
        <v>164.33</v>
      </c>
      <c r="K12" s="30">
        <v>151.94999999999999</v>
      </c>
      <c r="L12" s="30">
        <v>67.540000000000006</v>
      </c>
      <c r="M12" s="30">
        <f>0.02+23.56+245.44</f>
        <v>269.02</v>
      </c>
      <c r="N12" s="30">
        <v>293.98</v>
      </c>
      <c r="O12" s="30">
        <v>112.81</v>
      </c>
      <c r="P12" s="30">
        <v>0.37</v>
      </c>
      <c r="Q12" s="30">
        <v>0.75</v>
      </c>
      <c r="R12" s="30">
        <f>0.17+11.01+36.91+9.93</f>
        <v>58.019999999999996</v>
      </c>
      <c r="S12" s="76">
        <f t="shared" si="1"/>
        <v>1118.7699999999998</v>
      </c>
      <c r="T12" s="77">
        <f t="shared" si="2"/>
        <v>-922.25999999999976</v>
      </c>
      <c r="U12" s="94">
        <v>949.63</v>
      </c>
      <c r="V12" s="78">
        <f t="shared" si="3"/>
        <v>27.370000000000232</v>
      </c>
    </row>
    <row r="13" spans="2:23" x14ac:dyDescent="0.25">
      <c r="B13" s="21" t="s">
        <v>97</v>
      </c>
      <c r="C13" s="29">
        <v>129.5</v>
      </c>
      <c r="D13" s="30"/>
      <c r="E13" s="30"/>
      <c r="F13" s="30"/>
      <c r="G13" s="30"/>
      <c r="H13" s="79">
        <v>0.99</v>
      </c>
      <c r="I13" s="76">
        <f t="shared" si="0"/>
        <v>130.49</v>
      </c>
      <c r="J13" s="29"/>
      <c r="K13" s="30">
        <v>1.36</v>
      </c>
      <c r="L13" s="30"/>
      <c r="M13" s="30"/>
      <c r="N13" s="30">
        <v>62.7</v>
      </c>
      <c r="O13" s="30">
        <v>21.32</v>
      </c>
      <c r="P13" s="30"/>
      <c r="Q13" s="30"/>
      <c r="R13" s="30">
        <v>4.8</v>
      </c>
      <c r="S13" s="76">
        <f t="shared" si="1"/>
        <v>90.179999999999993</v>
      </c>
      <c r="T13" s="77">
        <f t="shared" si="2"/>
        <v>40.310000000000016</v>
      </c>
      <c r="U13" s="94"/>
      <c r="V13" s="78">
        <f t="shared" si="3"/>
        <v>40.310000000000016</v>
      </c>
    </row>
    <row r="14" spans="2:23" x14ac:dyDescent="0.25">
      <c r="B14" s="21" t="s">
        <v>98</v>
      </c>
      <c r="C14" s="29"/>
      <c r="D14" s="30"/>
      <c r="E14" s="30"/>
      <c r="F14" s="30"/>
      <c r="G14" s="30"/>
      <c r="H14" s="79"/>
      <c r="I14" s="76">
        <f t="shared" si="0"/>
        <v>0</v>
      </c>
      <c r="J14" s="29"/>
      <c r="K14" s="30"/>
      <c r="L14" s="30"/>
      <c r="M14" s="30"/>
      <c r="N14" s="30"/>
      <c r="O14" s="30"/>
      <c r="P14" s="30"/>
      <c r="Q14" s="30"/>
      <c r="R14" s="30">
        <v>0.4</v>
      </c>
      <c r="S14" s="76">
        <f t="shared" si="1"/>
        <v>0.4</v>
      </c>
      <c r="T14" s="77">
        <f t="shared" si="2"/>
        <v>-0.4</v>
      </c>
      <c r="U14" s="94">
        <v>0.4</v>
      </c>
      <c r="V14" s="78">
        <f t="shared" si="3"/>
        <v>0</v>
      </c>
    </row>
    <row r="15" spans="2:23" x14ac:dyDescent="0.25">
      <c r="B15" s="21"/>
      <c r="C15" s="29"/>
      <c r="D15" s="30"/>
      <c r="E15" s="30"/>
      <c r="F15" s="30"/>
      <c r="G15" s="30"/>
      <c r="H15" s="79"/>
      <c r="I15" s="76">
        <f t="shared" si="0"/>
        <v>0</v>
      </c>
      <c r="J15" s="29"/>
      <c r="K15" s="30"/>
      <c r="L15" s="30"/>
      <c r="M15" s="30"/>
      <c r="N15" s="30"/>
      <c r="O15" s="30"/>
      <c r="P15" s="30"/>
      <c r="Q15" s="30"/>
      <c r="R15" s="30"/>
      <c r="S15" s="76">
        <f t="shared" si="1"/>
        <v>0</v>
      </c>
      <c r="T15" s="77">
        <f t="shared" si="2"/>
        <v>0</v>
      </c>
      <c r="U15" s="94"/>
      <c r="V15" s="78">
        <f t="shared" si="3"/>
        <v>0</v>
      </c>
    </row>
    <row r="16" spans="2:23" x14ac:dyDescent="0.25">
      <c r="B16" s="21"/>
      <c r="C16" s="29"/>
      <c r="D16" s="30"/>
      <c r="E16" s="30"/>
      <c r="F16" s="30"/>
      <c r="G16" s="30"/>
      <c r="H16" s="79"/>
      <c r="I16" s="76">
        <f t="shared" si="0"/>
        <v>0</v>
      </c>
      <c r="J16" s="29"/>
      <c r="K16" s="30"/>
      <c r="L16" s="30"/>
      <c r="M16" s="30"/>
      <c r="N16" s="30"/>
      <c r="O16" s="30"/>
      <c r="P16" s="30"/>
      <c r="Q16" s="30"/>
      <c r="R16" s="30"/>
      <c r="S16" s="76">
        <f t="shared" si="1"/>
        <v>0</v>
      </c>
      <c r="T16" s="77">
        <f t="shared" si="2"/>
        <v>0</v>
      </c>
      <c r="U16" s="94"/>
      <c r="V16" s="78">
        <f t="shared" si="3"/>
        <v>0</v>
      </c>
    </row>
    <row r="17" spans="2:22" x14ac:dyDescent="0.25">
      <c r="B17" s="21"/>
      <c r="C17" s="29"/>
      <c r="D17" s="30"/>
      <c r="E17" s="30"/>
      <c r="F17" s="30"/>
      <c r="G17" s="30"/>
      <c r="H17" s="79"/>
      <c r="I17" s="76">
        <f t="shared" si="0"/>
        <v>0</v>
      </c>
      <c r="J17" s="29"/>
      <c r="K17" s="30"/>
      <c r="L17" s="30"/>
      <c r="M17" s="30"/>
      <c r="N17" s="30"/>
      <c r="O17" s="30"/>
      <c r="P17" s="30"/>
      <c r="Q17" s="30"/>
      <c r="R17" s="30"/>
      <c r="S17" s="76">
        <f t="shared" si="1"/>
        <v>0</v>
      </c>
      <c r="T17" s="77">
        <f t="shared" si="2"/>
        <v>0</v>
      </c>
      <c r="U17" s="94"/>
      <c r="V17" s="78">
        <f t="shared" si="3"/>
        <v>0</v>
      </c>
    </row>
    <row r="18" spans="2:22" x14ac:dyDescent="0.25">
      <c r="B18" s="21"/>
      <c r="C18" s="29"/>
      <c r="D18" s="30"/>
      <c r="E18" s="30"/>
      <c r="F18" s="30"/>
      <c r="G18" s="30"/>
      <c r="H18" s="79"/>
      <c r="I18" s="76">
        <f t="shared" si="0"/>
        <v>0</v>
      </c>
      <c r="J18" s="29"/>
      <c r="K18" s="30"/>
      <c r="L18" s="30"/>
      <c r="M18" s="30"/>
      <c r="N18" s="30"/>
      <c r="O18" s="30"/>
      <c r="P18" s="30"/>
      <c r="Q18" s="30"/>
      <c r="R18" s="30"/>
      <c r="S18" s="76">
        <f t="shared" si="1"/>
        <v>0</v>
      </c>
      <c r="T18" s="77">
        <f t="shared" si="2"/>
        <v>0</v>
      </c>
      <c r="U18" s="94"/>
      <c r="V18" s="78">
        <f t="shared" si="3"/>
        <v>0</v>
      </c>
    </row>
    <row r="19" spans="2:22" ht="15.75" thickBot="1" x14ac:dyDescent="0.3">
      <c r="B19" s="80"/>
      <c r="C19" s="81"/>
      <c r="D19" s="82"/>
      <c r="E19" s="82"/>
      <c r="F19" s="82"/>
      <c r="G19" s="82"/>
      <c r="H19" s="83"/>
      <c r="I19" s="76">
        <f t="shared" si="0"/>
        <v>0</v>
      </c>
      <c r="J19" s="81"/>
      <c r="K19" s="82"/>
      <c r="L19" s="82"/>
      <c r="M19" s="82"/>
      <c r="N19" s="82"/>
      <c r="O19" s="82"/>
      <c r="P19" s="82"/>
      <c r="Q19" s="82"/>
      <c r="R19" s="82"/>
      <c r="S19" s="76">
        <f t="shared" si="1"/>
        <v>0</v>
      </c>
      <c r="T19" s="84">
        <f t="shared" si="2"/>
        <v>0</v>
      </c>
      <c r="U19" s="95"/>
      <c r="V19" s="85">
        <f t="shared" si="3"/>
        <v>0</v>
      </c>
    </row>
    <row r="20" spans="2:22" ht="15.75" thickBot="1" x14ac:dyDescent="0.3">
      <c r="B20" s="25" t="s">
        <v>44</v>
      </c>
      <c r="C20" s="33">
        <f>SUM(C4:C19)</f>
        <v>49936.18</v>
      </c>
      <c r="D20" s="33">
        <f t="shared" ref="D20:H20" si="4">SUM(D4:D19)</f>
        <v>175</v>
      </c>
      <c r="E20" s="33">
        <f t="shared" si="4"/>
        <v>35024.789999999994</v>
      </c>
      <c r="F20" s="33">
        <f t="shared" si="4"/>
        <v>0</v>
      </c>
      <c r="G20" s="33">
        <f t="shared" si="4"/>
        <v>34.540000000000006</v>
      </c>
      <c r="H20" s="86">
        <f t="shared" si="4"/>
        <v>1483.72</v>
      </c>
      <c r="I20" s="87">
        <f>SUM(I4:I19)</f>
        <v>86654.229999999981</v>
      </c>
      <c r="J20" s="33">
        <f>SUM(J4:J19)</f>
        <v>1425.68</v>
      </c>
      <c r="K20" s="33">
        <f t="shared" ref="K20:S20" si="5">SUM(K4:K19)</f>
        <v>13733.319999999998</v>
      </c>
      <c r="L20" s="33">
        <f t="shared" si="5"/>
        <v>8217.84</v>
      </c>
      <c r="M20" s="33">
        <f t="shared" si="5"/>
        <v>5519.2199999999993</v>
      </c>
      <c r="N20" s="33">
        <f t="shared" si="5"/>
        <v>55751.450000000012</v>
      </c>
      <c r="O20" s="33">
        <f t="shared" si="5"/>
        <v>18656.45</v>
      </c>
      <c r="P20" s="33">
        <f t="shared" si="5"/>
        <v>3.3</v>
      </c>
      <c r="Q20" s="33">
        <f t="shared" si="5"/>
        <v>487.05</v>
      </c>
      <c r="R20" s="86">
        <f t="shared" si="5"/>
        <v>3448.1500000000005</v>
      </c>
      <c r="S20" s="87">
        <f t="shared" si="5"/>
        <v>107242.45999999998</v>
      </c>
      <c r="T20" s="88">
        <f t="shared" si="2"/>
        <v>-20588.229999999996</v>
      </c>
      <c r="U20" s="97">
        <f>SUM(U4:U19)</f>
        <v>20672.27</v>
      </c>
      <c r="V20" s="89">
        <f t="shared" si="3"/>
        <v>84.040000000004511</v>
      </c>
    </row>
    <row r="23" spans="2:22" ht="30" customHeight="1" x14ac:dyDescent="0.25"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</row>
  </sheetData>
  <mergeCells count="1">
    <mergeCell ref="B23:V23"/>
  </mergeCells>
  <pageMargins left="0.7" right="0.7" top="0.78740157499999996" bottom="0.78740157499999996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Vyhodnocení hospodaření PO</vt:lpstr>
      <vt:lpstr>Vyhod. hosp. PO -střediska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2018-04-06T10:34:58Z</cp:lastPrinted>
  <dcterms:created xsi:type="dcterms:W3CDTF">2017-02-23T12:10:09Z</dcterms:created>
  <dcterms:modified xsi:type="dcterms:W3CDTF">2019-05-29T07:56:50Z</dcterms:modified>
</cp:coreProperties>
</file>