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4\Zveřejnění na ÚD a WEB\PO na WEB\NR 2024 PO\"/>
    </mc:Choice>
  </mc:AlternateContent>
  <bookViews>
    <workbookView xWindow="0" yWindow="0" windowWidth="21570" windowHeight="7380" tabRatio="808" activeTab="14"/>
  </bookViews>
  <sheets>
    <sheet name="CHK" sheetId="3" r:id="rId1"/>
    <sheet name="MěLe" sheetId="5" r:id="rId2"/>
    <sheet name="SOS" sheetId="7" r:id="rId3"/>
    <sheet name="TSmCh" sheetId="9" r:id="rId4"/>
    <sheet name="ZOO" sheetId="10" r:id="rId5"/>
    <sheet name="ZŠ Zahr" sheetId="20" r:id="rId6"/>
    <sheet name="ZŠ Na Přík" sheetId="17" r:id="rId7"/>
    <sheet name="ZŠ Kadaň" sheetId="16" r:id="rId8"/>
    <sheet name="ZŠ Píseč" sheetId="18" r:id="rId9"/>
    <sheet name="ZŠ Hornic" sheetId="15" r:id="rId10"/>
    <sheet name="ZŠ Školní" sheetId="19" r:id="rId11"/>
    <sheet name="ZŠ Heyr." sheetId="13" r:id="rId12"/>
    <sheet name="ZŠ Břez" sheetId="14" r:id="rId13"/>
    <sheet name="ZŠaMŠ" sheetId="11" r:id="rId14"/>
    <sheet name="ZUŠ" sheetId="21" r:id="rId15"/>
    <sheet name="ZŠSaMŠ" sheetId="12" r:id="rId16"/>
    <sheet name="MŠ" sheetId="6" r:id="rId17"/>
    <sheet name="SVČ" sheetId="8" r:id="rId18"/>
  </sheets>
  <externalReferences>
    <externalReference r:id="rId19"/>
    <externalReference r:id="rId20"/>
    <externalReference r:id="rId21"/>
  </externalReferences>
  <definedNames>
    <definedName name="_xlnm.Print_Area" localSheetId="0">CHK!$A$1:$AC$95</definedName>
    <definedName name="_xlnm.Print_Area" localSheetId="1">MěLe!$A$1:$AC$97</definedName>
    <definedName name="_xlnm.Print_Area" localSheetId="16">MŠ!$A$1:$AC$96</definedName>
    <definedName name="_xlnm.Print_Area" localSheetId="2">SOS!$A$1:$AC$102</definedName>
    <definedName name="_xlnm.Print_Area" localSheetId="17">SVČ!$A$1:$AC$77</definedName>
    <definedName name="_xlnm.Print_Area" localSheetId="3">TSmCh!$A$1:$AC$75</definedName>
    <definedName name="_xlnm.Print_Area" localSheetId="4">ZOO!$A$1:$AC$99</definedName>
    <definedName name="_xlnm.Print_Area" localSheetId="12">'ZŠ Břez'!$A$1:$AE$96</definedName>
    <definedName name="_xlnm.Print_Area" localSheetId="11">'ZŠ Heyr.'!$A$1:$AC$96</definedName>
    <definedName name="_xlnm.Print_Area" localSheetId="9">'ZŠ Hornic'!$A$1:$AC$96</definedName>
    <definedName name="_xlnm.Print_Area" localSheetId="7">'ZŠ Kadaň'!$A$1:$AC$96</definedName>
    <definedName name="_xlnm.Print_Area" localSheetId="6">'ZŠ Na Přík'!$A$1:$AC$77</definedName>
    <definedName name="_xlnm.Print_Area" localSheetId="8">'ZŠ Píseč'!$A$1:$AC$96</definedName>
    <definedName name="_xlnm.Print_Area" localSheetId="10">'ZŠ Školní'!$A$1:$AC$96</definedName>
    <definedName name="_xlnm.Print_Area" localSheetId="5">'ZŠ Zahr'!$B$2:$AB$1048576</definedName>
    <definedName name="_xlnm.Print_Area" localSheetId="13">ZŠaMŠ!$A$1:$AC$96</definedName>
    <definedName name="_xlnm.Print_Area" localSheetId="15">ZŠSaMŠ!$A$1:$AC$96</definedName>
    <definedName name="_xlnm.Print_Area" localSheetId="14">ZUŠ!$A$1:$AC$74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21" l="1"/>
  <c r="G54" i="21"/>
  <c r="J54" i="21" s="1"/>
  <c r="M54" i="21" s="1"/>
  <c r="Y53" i="21"/>
  <c r="G53" i="21"/>
  <c r="J53" i="21" s="1"/>
  <c r="M53" i="21" s="1"/>
  <c r="Y52" i="21"/>
  <c r="G52" i="21"/>
  <c r="J52" i="21" s="1"/>
  <c r="M52" i="21" s="1"/>
  <c r="Y51" i="21"/>
  <c r="G51" i="21"/>
  <c r="J51" i="21" s="1"/>
  <c r="M51" i="21" s="1"/>
  <c r="M50" i="21" s="1"/>
  <c r="Y50" i="21"/>
  <c r="S50" i="21"/>
  <c r="G50" i="21"/>
  <c r="Z39" i="21"/>
  <c r="X39" i="21"/>
  <c r="W39" i="21"/>
  <c r="V39" i="21"/>
  <c r="Y39" i="21" s="1"/>
  <c r="T39" i="21"/>
  <c r="P39" i="21"/>
  <c r="O39" i="21"/>
  <c r="N39" i="21"/>
  <c r="L39" i="21"/>
  <c r="K39" i="21"/>
  <c r="J39" i="21"/>
  <c r="M39" i="21" s="1"/>
  <c r="H39" i="21"/>
  <c r="Y38" i="21"/>
  <c r="AA38" i="21" s="1"/>
  <c r="AB38" i="21" s="1"/>
  <c r="S38" i="21"/>
  <c r="U38" i="21" s="1"/>
  <c r="E38" i="21"/>
  <c r="G38" i="21" s="1"/>
  <c r="I38" i="21" s="1"/>
  <c r="Y37" i="21"/>
  <c r="AA37" i="21" s="1"/>
  <c r="AB37" i="21" s="1"/>
  <c r="S37" i="21"/>
  <c r="U37" i="21" s="1"/>
  <c r="P37" i="21"/>
  <c r="G37" i="21"/>
  <c r="I37" i="21" s="1"/>
  <c r="Y36" i="21"/>
  <c r="AA36" i="21" s="1"/>
  <c r="AB36" i="21" s="1"/>
  <c r="S36" i="21"/>
  <c r="U36" i="21" s="1"/>
  <c r="G36" i="21"/>
  <c r="I36" i="21" s="1"/>
  <c r="AA35" i="21"/>
  <c r="AB35" i="21" s="1"/>
  <c r="Y35" i="21"/>
  <c r="S35" i="21"/>
  <c r="U35" i="21" s="1"/>
  <c r="E35" i="21"/>
  <c r="E39" i="21" s="1"/>
  <c r="D35" i="21"/>
  <c r="G35" i="21" s="1"/>
  <c r="I35" i="21" s="1"/>
  <c r="AB34" i="21"/>
  <c r="AA34" i="21"/>
  <c r="S34" i="21"/>
  <c r="U34" i="21" s="1"/>
  <c r="I34" i="21"/>
  <c r="G34" i="21"/>
  <c r="E34" i="21"/>
  <c r="AA33" i="21"/>
  <c r="AB33" i="21" s="1"/>
  <c r="Y33" i="21"/>
  <c r="P33" i="21"/>
  <c r="S33" i="21" s="1"/>
  <c r="U33" i="21" s="1"/>
  <c r="I33" i="21"/>
  <c r="G33" i="21"/>
  <c r="AA32" i="21"/>
  <c r="AB32" i="21" s="1"/>
  <c r="Y32" i="21"/>
  <c r="R32" i="21"/>
  <c r="R39" i="21" s="1"/>
  <c r="Q32" i="21"/>
  <c r="Q39" i="21" s="1"/>
  <c r="F32" i="21"/>
  <c r="G32" i="21" s="1"/>
  <c r="I32" i="21" s="1"/>
  <c r="E32" i="21"/>
  <c r="D32" i="21"/>
  <c r="AA31" i="21"/>
  <c r="AB31" i="21" s="1"/>
  <c r="Y31" i="21"/>
  <c r="S31" i="21"/>
  <c r="U31" i="21" s="1"/>
  <c r="I31" i="21"/>
  <c r="G31" i="21"/>
  <c r="F31" i="21"/>
  <c r="AA30" i="21"/>
  <c r="AB30" i="21" s="1"/>
  <c r="Y30" i="21"/>
  <c r="S30" i="21"/>
  <c r="U30" i="21" s="1"/>
  <c r="D30" i="21"/>
  <c r="AB29" i="21"/>
  <c r="AA29" i="21"/>
  <c r="Y29" i="21"/>
  <c r="S29" i="21"/>
  <c r="U29" i="21" s="1"/>
  <c r="I29" i="21"/>
  <c r="G29" i="21"/>
  <c r="AA28" i="21"/>
  <c r="AB28" i="21" s="1"/>
  <c r="Y28" i="21"/>
  <c r="S28" i="21"/>
  <c r="U28" i="21" s="1"/>
  <c r="I28" i="21"/>
  <c r="G28" i="21"/>
  <c r="Z24" i="21"/>
  <c r="Z40" i="21" s="1"/>
  <c r="X24" i="21"/>
  <c r="X40" i="21" s="1"/>
  <c r="W24" i="21"/>
  <c r="W40" i="21" s="1"/>
  <c r="V24" i="21"/>
  <c r="Y24" i="21" s="1"/>
  <c r="T24" i="21"/>
  <c r="T40" i="21" s="1"/>
  <c r="R24" i="21"/>
  <c r="Q24" i="21"/>
  <c r="Q40" i="21" s="1"/>
  <c r="P24" i="21"/>
  <c r="P40" i="21" s="1"/>
  <c r="O24" i="21"/>
  <c r="O40" i="21" s="1"/>
  <c r="O41" i="21" s="1"/>
  <c r="N24" i="21"/>
  <c r="N40" i="21" s="1"/>
  <c r="L24" i="21"/>
  <c r="L40" i="21" s="1"/>
  <c r="K24" i="21"/>
  <c r="K40" i="21" s="1"/>
  <c r="J24" i="21"/>
  <c r="M24" i="21" s="1"/>
  <c r="M40" i="21" s="1"/>
  <c r="H24" i="21"/>
  <c r="H40" i="21" s="1"/>
  <c r="F24" i="21"/>
  <c r="G24" i="21" s="1"/>
  <c r="E24" i="21"/>
  <c r="E40" i="21" s="1"/>
  <c r="D24" i="21"/>
  <c r="AA23" i="21"/>
  <c r="AB23" i="21" s="1"/>
  <c r="U23" i="21"/>
  <c r="S23" i="21"/>
  <c r="G23" i="21"/>
  <c r="I23" i="21" s="1"/>
  <c r="AB22" i="21"/>
  <c r="AA22" i="21"/>
  <c r="S22" i="21"/>
  <c r="U22" i="21" s="1"/>
  <c r="I22" i="21"/>
  <c r="G22" i="21"/>
  <c r="AA21" i="21"/>
  <c r="AB21" i="21" s="1"/>
  <c r="U21" i="21"/>
  <c r="S21" i="21"/>
  <c r="G21" i="21"/>
  <c r="I21" i="21" s="1"/>
  <c r="AA20" i="21"/>
  <c r="AB20" i="21" s="1"/>
  <c r="S20" i="21"/>
  <c r="U20" i="21" s="1"/>
  <c r="I20" i="21"/>
  <c r="AA19" i="21"/>
  <c r="AB19" i="21" s="1"/>
  <c r="U19" i="21"/>
  <c r="S19" i="21"/>
  <c r="G19" i="21"/>
  <c r="I19" i="21" s="1"/>
  <c r="AB18" i="21"/>
  <c r="AA18" i="21"/>
  <c r="S18" i="21"/>
  <c r="U18" i="21" s="1"/>
  <c r="I18" i="21"/>
  <c r="G18" i="21"/>
  <c r="AA17" i="21"/>
  <c r="AB17" i="21" s="1"/>
  <c r="U17" i="21"/>
  <c r="S17" i="21"/>
  <c r="G17" i="21"/>
  <c r="I17" i="21" s="1"/>
  <c r="AB16" i="21"/>
  <c r="AA16" i="21"/>
  <c r="S16" i="21"/>
  <c r="U16" i="21" s="1"/>
  <c r="I16" i="21"/>
  <c r="G16" i="21"/>
  <c r="AA15" i="21"/>
  <c r="AB15" i="21" s="1"/>
  <c r="U15" i="21"/>
  <c r="U24" i="21" s="1"/>
  <c r="S15" i="21"/>
  <c r="I15" i="21"/>
  <c r="I24" i="21" s="1"/>
  <c r="R40" i="21" l="1"/>
  <c r="D40" i="21"/>
  <c r="G30" i="21"/>
  <c r="I30" i="21" s="1"/>
  <c r="I39" i="21"/>
  <c r="I40" i="21" s="1"/>
  <c r="I41" i="21" s="1"/>
  <c r="Y40" i="21"/>
  <c r="S39" i="21"/>
  <c r="AA39" i="21"/>
  <c r="AB39" i="21" s="1"/>
  <c r="F40" i="21"/>
  <c r="V40" i="21"/>
  <c r="S24" i="21"/>
  <c r="AA24" i="21"/>
  <c r="S32" i="21"/>
  <c r="U32" i="21" s="1"/>
  <c r="U39" i="21" s="1"/>
  <c r="U40" i="21" s="1"/>
  <c r="U41" i="21" s="1"/>
  <c r="D39" i="21"/>
  <c r="F30" i="21"/>
  <c r="F39" i="21" s="1"/>
  <c r="J40" i="21"/>
  <c r="AA40" i="21" l="1"/>
  <c r="AB24" i="21"/>
  <c r="S40" i="21"/>
  <c r="G39" i="21"/>
  <c r="G40" i="21" s="1"/>
  <c r="AA41" i="21" l="1"/>
  <c r="AB41" i="21" s="1"/>
  <c r="AB40" i="21"/>
  <c r="Y54" i="20" l="1"/>
  <c r="S54" i="20"/>
  <c r="F54" i="20"/>
  <c r="G54" i="20" s="1"/>
  <c r="J54" i="20" s="1"/>
  <c r="M54" i="20" s="1"/>
  <c r="E54" i="20"/>
  <c r="Y53" i="20"/>
  <c r="S53" i="20"/>
  <c r="G53" i="20"/>
  <c r="J53" i="20" s="1"/>
  <c r="M53" i="20" s="1"/>
  <c r="Y52" i="20"/>
  <c r="S52" i="20"/>
  <c r="J52" i="20"/>
  <c r="M52" i="20" s="1"/>
  <c r="G52" i="20"/>
  <c r="Y51" i="20"/>
  <c r="Q51" i="20"/>
  <c r="S51" i="20" s="1"/>
  <c r="J51" i="20"/>
  <c r="M51" i="20" s="1"/>
  <c r="G51" i="20"/>
  <c r="Y50" i="20"/>
  <c r="S50" i="20"/>
  <c r="G50" i="20"/>
  <c r="J50" i="20" s="1"/>
  <c r="M50" i="20" s="1"/>
  <c r="Z39" i="20"/>
  <c r="X39" i="20"/>
  <c r="W39" i="20"/>
  <c r="T39" i="20"/>
  <c r="N39" i="20"/>
  <c r="L39" i="20"/>
  <c r="K39" i="20"/>
  <c r="H39" i="20"/>
  <c r="Y38" i="20"/>
  <c r="AA38" i="20" s="1"/>
  <c r="S38" i="20"/>
  <c r="U38" i="20" s="1"/>
  <c r="M38" i="20"/>
  <c r="O38" i="20" s="1"/>
  <c r="G38" i="20"/>
  <c r="I38" i="20" s="1"/>
  <c r="Y37" i="20"/>
  <c r="AA37" i="20" s="1"/>
  <c r="AB37" i="20" s="1"/>
  <c r="U37" i="20"/>
  <c r="S37" i="20"/>
  <c r="M37" i="20"/>
  <c r="O37" i="20" s="1"/>
  <c r="I37" i="20"/>
  <c r="G37" i="20"/>
  <c r="Y36" i="20"/>
  <c r="AA36" i="20" s="1"/>
  <c r="AB36" i="20" s="1"/>
  <c r="U36" i="20"/>
  <c r="S36" i="20"/>
  <c r="M36" i="20"/>
  <c r="O36" i="20" s="1"/>
  <c r="I36" i="20"/>
  <c r="G36" i="20"/>
  <c r="AA35" i="20"/>
  <c r="AB35" i="20" s="1"/>
  <c r="Y35" i="20"/>
  <c r="S35" i="20"/>
  <c r="U35" i="20" s="1"/>
  <c r="O35" i="20"/>
  <c r="M35" i="20"/>
  <c r="J35" i="20"/>
  <c r="J39" i="20" s="1"/>
  <c r="M39" i="20" s="1"/>
  <c r="G35" i="20"/>
  <c r="I35" i="20" s="1"/>
  <c r="Y34" i="20"/>
  <c r="AA34" i="20" s="1"/>
  <c r="U34" i="20"/>
  <c r="S34" i="20"/>
  <c r="M34" i="20"/>
  <c r="O34" i="20" s="1"/>
  <c r="I34" i="20"/>
  <c r="G34" i="20"/>
  <c r="Y33" i="20"/>
  <c r="AA33" i="20" s="1"/>
  <c r="AB33" i="20" s="1"/>
  <c r="U33" i="20"/>
  <c r="S33" i="20"/>
  <c r="M33" i="20"/>
  <c r="O33" i="20" s="1"/>
  <c r="I33" i="20"/>
  <c r="G33" i="20"/>
  <c r="W32" i="20"/>
  <c r="V32" i="20"/>
  <c r="V39" i="20" s="1"/>
  <c r="Y39" i="20" s="1"/>
  <c r="R32" i="20"/>
  <c r="R39" i="20" s="1"/>
  <c r="Q32" i="20"/>
  <c r="Q39" i="20" s="1"/>
  <c r="P32" i="20"/>
  <c r="S32" i="20" s="1"/>
  <c r="U32" i="20" s="1"/>
  <c r="K32" i="20"/>
  <c r="J32" i="20"/>
  <c r="M32" i="20" s="1"/>
  <c r="O32" i="20" s="1"/>
  <c r="F32" i="20"/>
  <c r="F39" i="20" s="1"/>
  <c r="E32" i="20"/>
  <c r="E39" i="20" s="1"/>
  <c r="D32" i="20"/>
  <c r="G32" i="20" s="1"/>
  <c r="I32" i="20" s="1"/>
  <c r="Y31" i="20"/>
  <c r="AA31" i="20" s="1"/>
  <c r="AB31" i="20" s="1"/>
  <c r="S31" i="20"/>
  <c r="U31" i="20" s="1"/>
  <c r="M31" i="20"/>
  <c r="O31" i="20" s="1"/>
  <c r="G31" i="20"/>
  <c r="I31" i="20" s="1"/>
  <c r="AA30" i="20"/>
  <c r="AB30" i="20" s="1"/>
  <c r="Y30" i="20"/>
  <c r="S30" i="20"/>
  <c r="U30" i="20" s="1"/>
  <c r="O30" i="20"/>
  <c r="M30" i="20"/>
  <c r="G30" i="20"/>
  <c r="I30" i="20" s="1"/>
  <c r="Y29" i="20"/>
  <c r="AA29" i="20" s="1"/>
  <c r="S29" i="20"/>
  <c r="U29" i="20" s="1"/>
  <c r="M29" i="20"/>
  <c r="O29" i="20" s="1"/>
  <c r="G29" i="20"/>
  <c r="I29" i="20" s="1"/>
  <c r="Y28" i="20"/>
  <c r="AA28" i="20" s="1"/>
  <c r="U28" i="20"/>
  <c r="S28" i="20"/>
  <c r="M28" i="20"/>
  <c r="O28" i="20" s="1"/>
  <c r="I28" i="20"/>
  <c r="G28" i="20"/>
  <c r="Z24" i="20"/>
  <c r="Z40" i="20" s="1"/>
  <c r="X24" i="20"/>
  <c r="X40" i="20" s="1"/>
  <c r="W24" i="20"/>
  <c r="W40" i="20" s="1"/>
  <c r="T24" i="20"/>
  <c r="T40" i="20" s="1"/>
  <c r="R24" i="20"/>
  <c r="R40" i="20" s="1"/>
  <c r="Q24" i="20"/>
  <c r="Q40" i="20" s="1"/>
  <c r="P24" i="20"/>
  <c r="N24" i="20"/>
  <c r="N40" i="20" s="1"/>
  <c r="L24" i="20"/>
  <c r="L40" i="20" s="1"/>
  <c r="K24" i="20"/>
  <c r="K40" i="20" s="1"/>
  <c r="J24" i="20"/>
  <c r="M24" i="20" s="1"/>
  <c r="H24" i="20"/>
  <c r="H40" i="20" s="1"/>
  <c r="F24" i="20"/>
  <c r="E24" i="20"/>
  <c r="E40" i="20" s="1"/>
  <c r="D24" i="20"/>
  <c r="AA23" i="20"/>
  <c r="AB23" i="20" s="1"/>
  <c r="Y23" i="20"/>
  <c r="S23" i="20"/>
  <c r="U23" i="20" s="1"/>
  <c r="O23" i="20"/>
  <c r="M23" i="20"/>
  <c r="G23" i="20"/>
  <c r="I23" i="20" s="1"/>
  <c r="Y22" i="20"/>
  <c r="AA22" i="20" s="1"/>
  <c r="AB22" i="20" s="1"/>
  <c r="S22" i="20"/>
  <c r="U22" i="20" s="1"/>
  <c r="M22" i="20"/>
  <c r="O22" i="20" s="1"/>
  <c r="G22" i="20"/>
  <c r="I22" i="20" s="1"/>
  <c r="Y21" i="20"/>
  <c r="AA21" i="20" s="1"/>
  <c r="AB21" i="20" s="1"/>
  <c r="U21" i="20"/>
  <c r="S21" i="20"/>
  <c r="M21" i="20"/>
  <c r="O21" i="20" s="1"/>
  <c r="I21" i="20"/>
  <c r="G21" i="20"/>
  <c r="Y20" i="20"/>
  <c r="AA20" i="20" s="1"/>
  <c r="AB20" i="20" s="1"/>
  <c r="U20" i="20"/>
  <c r="S20" i="20"/>
  <c r="M20" i="20"/>
  <c r="O20" i="20" s="1"/>
  <c r="I20" i="20"/>
  <c r="G20" i="20"/>
  <c r="AA19" i="20"/>
  <c r="AB19" i="20" s="1"/>
  <c r="Y19" i="20"/>
  <c r="S19" i="20"/>
  <c r="U19" i="20" s="1"/>
  <c r="O19" i="20"/>
  <c r="M19" i="20"/>
  <c r="G19" i="20"/>
  <c r="I19" i="20" s="1"/>
  <c r="AB18" i="20"/>
  <c r="AA18" i="20"/>
  <c r="Y18" i="20"/>
  <c r="S18" i="20"/>
  <c r="U18" i="20" s="1"/>
  <c r="O18" i="20"/>
  <c r="M18" i="20"/>
  <c r="G18" i="20"/>
  <c r="I18" i="20" s="1"/>
  <c r="V17" i="20"/>
  <c r="V24" i="20" s="1"/>
  <c r="U17" i="20"/>
  <c r="S17" i="20"/>
  <c r="M17" i="20"/>
  <c r="O17" i="20" s="1"/>
  <c r="I17" i="20"/>
  <c r="G17" i="20"/>
  <c r="AA16" i="20"/>
  <c r="AB16" i="20" s="1"/>
  <c r="Y16" i="20"/>
  <c r="S16" i="20"/>
  <c r="U16" i="20" s="1"/>
  <c r="O16" i="20"/>
  <c r="M16" i="20"/>
  <c r="G16" i="20"/>
  <c r="I16" i="20" s="1"/>
  <c r="AB15" i="20"/>
  <c r="AA15" i="20"/>
  <c r="Y15" i="20"/>
  <c r="S15" i="20"/>
  <c r="U15" i="20" s="1"/>
  <c r="U24" i="20" s="1"/>
  <c r="O15" i="20"/>
  <c r="M15" i="20"/>
  <c r="G15" i="20"/>
  <c r="I15" i="20" s="1"/>
  <c r="U40" i="20" l="1"/>
  <c r="U41" i="20" s="1"/>
  <c r="I39" i="20"/>
  <c r="U39" i="20"/>
  <c r="F40" i="20"/>
  <c r="AA24" i="20"/>
  <c r="AB38" i="20"/>
  <c r="I24" i="20"/>
  <c r="O24" i="20"/>
  <c r="Y24" i="20"/>
  <c r="Y40" i="20" s="1"/>
  <c r="V40" i="20"/>
  <c r="M40" i="20"/>
  <c r="P40" i="20"/>
  <c r="AB28" i="20"/>
  <c r="AB29" i="20"/>
  <c r="AB34" i="20"/>
  <c r="O39" i="20"/>
  <c r="Y17" i="20"/>
  <c r="AA17" i="20" s="1"/>
  <c r="AB17" i="20" s="1"/>
  <c r="G24" i="20"/>
  <c r="S24" i="20"/>
  <c r="S40" i="20" s="1"/>
  <c r="D39" i="20"/>
  <c r="G39" i="20" s="1"/>
  <c r="P39" i="20"/>
  <c r="S39" i="20" s="1"/>
  <c r="J40" i="20"/>
  <c r="Y32" i="20"/>
  <c r="AA32" i="20" s="1"/>
  <c r="AB32" i="20" s="1"/>
  <c r="AA39" i="20" l="1"/>
  <c r="AB39" i="20" s="1"/>
  <c r="AB24" i="20"/>
  <c r="G40" i="20"/>
  <c r="O40" i="20"/>
  <c r="O41" i="20" s="1"/>
  <c r="D40" i="20"/>
  <c r="I40" i="20"/>
  <c r="I41" i="20" s="1"/>
  <c r="AA40" i="20" l="1"/>
  <c r="AA41" i="20" l="1"/>
  <c r="AB41" i="20" s="1"/>
  <c r="AB40" i="20"/>
  <c r="Y54" i="19" l="1"/>
  <c r="S54" i="19"/>
  <c r="M54" i="19"/>
  <c r="G54" i="19"/>
  <c r="Y53" i="19"/>
  <c r="S53" i="19"/>
  <c r="M53" i="19"/>
  <c r="G53" i="19"/>
  <c r="Y52" i="19"/>
  <c r="S52" i="19"/>
  <c r="M52" i="19"/>
  <c r="G52" i="19"/>
  <c r="Y51" i="19"/>
  <c r="S51" i="19"/>
  <c r="M51" i="19"/>
  <c r="G51" i="19"/>
  <c r="X50" i="19"/>
  <c r="W50" i="19"/>
  <c r="V50" i="19"/>
  <c r="Y50" i="19" s="1"/>
  <c r="R50" i="19"/>
  <c r="Q50" i="19"/>
  <c r="P50" i="19"/>
  <c r="S50" i="19" s="1"/>
  <c r="M50" i="19"/>
  <c r="F50" i="19"/>
  <c r="E50" i="19"/>
  <c r="D50" i="19"/>
  <c r="G50" i="19" s="1"/>
  <c r="W40" i="19"/>
  <c r="K40" i="19"/>
  <c r="Z39" i="19"/>
  <c r="X39" i="19"/>
  <c r="Y39" i="19" s="1"/>
  <c r="W39" i="19"/>
  <c r="V39" i="19"/>
  <c r="T39" i="19"/>
  <c r="R39" i="19"/>
  <c r="Q39" i="19"/>
  <c r="P39" i="19"/>
  <c r="S39" i="19" s="1"/>
  <c r="N39" i="19"/>
  <c r="L39" i="19"/>
  <c r="M39" i="19" s="1"/>
  <c r="K39" i="19"/>
  <c r="J39" i="19"/>
  <c r="H39" i="19"/>
  <c r="F39" i="19"/>
  <c r="E39" i="19"/>
  <c r="D39" i="19"/>
  <c r="G39" i="19" s="1"/>
  <c r="Y38" i="19"/>
  <c r="AA38" i="19" s="1"/>
  <c r="U38" i="19"/>
  <c r="S38" i="19"/>
  <c r="M38" i="19"/>
  <c r="O38" i="19" s="1"/>
  <c r="I38" i="19"/>
  <c r="G38" i="19"/>
  <c r="Y37" i="19"/>
  <c r="AA37" i="19" s="1"/>
  <c r="U37" i="19"/>
  <c r="S37" i="19"/>
  <c r="M37" i="19"/>
  <c r="O37" i="19" s="1"/>
  <c r="I37" i="19"/>
  <c r="G37" i="19"/>
  <c r="AA36" i="19"/>
  <c r="AB36" i="19" s="1"/>
  <c r="Y36" i="19"/>
  <c r="S36" i="19"/>
  <c r="U36" i="19" s="1"/>
  <c r="O36" i="19"/>
  <c r="M36" i="19"/>
  <c r="G36" i="19"/>
  <c r="I36" i="19" s="1"/>
  <c r="AB35" i="19"/>
  <c r="AA35" i="19"/>
  <c r="Y35" i="19"/>
  <c r="S35" i="19"/>
  <c r="U35" i="19" s="1"/>
  <c r="O35" i="19"/>
  <c r="M35" i="19"/>
  <c r="G35" i="19"/>
  <c r="I35" i="19" s="1"/>
  <c r="Y34" i="19"/>
  <c r="AA34" i="19" s="1"/>
  <c r="AB34" i="19" s="1"/>
  <c r="U34" i="19"/>
  <c r="S34" i="19"/>
  <c r="M34" i="19"/>
  <c r="O34" i="19" s="1"/>
  <c r="I34" i="19"/>
  <c r="G34" i="19"/>
  <c r="Y33" i="19"/>
  <c r="AA33" i="19" s="1"/>
  <c r="AB33" i="19" s="1"/>
  <c r="S33" i="19"/>
  <c r="U33" i="19" s="1"/>
  <c r="M33" i="19"/>
  <c r="O33" i="19" s="1"/>
  <c r="G33" i="19"/>
  <c r="I33" i="19" s="1"/>
  <c r="AA32" i="19"/>
  <c r="AB32" i="19" s="1"/>
  <c r="Y32" i="19"/>
  <c r="S32" i="19"/>
  <c r="U32" i="19" s="1"/>
  <c r="O32" i="19"/>
  <c r="M32" i="19"/>
  <c r="G32" i="19"/>
  <c r="I32" i="19" s="1"/>
  <c r="Y31" i="19"/>
  <c r="AA31" i="19" s="1"/>
  <c r="S31" i="19"/>
  <c r="U31" i="19" s="1"/>
  <c r="M31" i="19"/>
  <c r="O31" i="19" s="1"/>
  <c r="G31" i="19"/>
  <c r="I31" i="19" s="1"/>
  <c r="Y30" i="19"/>
  <c r="AA30" i="19" s="1"/>
  <c r="AB30" i="19" s="1"/>
  <c r="U30" i="19"/>
  <c r="S30" i="19"/>
  <c r="M30" i="19"/>
  <c r="O30" i="19" s="1"/>
  <c r="I30" i="19"/>
  <c r="G30" i="19"/>
  <c r="Y29" i="19"/>
  <c r="AA29" i="19" s="1"/>
  <c r="S29" i="19"/>
  <c r="U29" i="19" s="1"/>
  <c r="M29" i="19"/>
  <c r="O29" i="19" s="1"/>
  <c r="G29" i="19"/>
  <c r="I29" i="19" s="1"/>
  <c r="AA28" i="19"/>
  <c r="AB28" i="19" s="1"/>
  <c r="Y28" i="19"/>
  <c r="S28" i="19"/>
  <c r="U28" i="19" s="1"/>
  <c r="O28" i="19"/>
  <c r="M28" i="19"/>
  <c r="G28" i="19"/>
  <c r="I28" i="19" s="1"/>
  <c r="Z24" i="19"/>
  <c r="Z40" i="19" s="1"/>
  <c r="X24" i="19"/>
  <c r="X40" i="19" s="1"/>
  <c r="W24" i="19"/>
  <c r="V24" i="19"/>
  <c r="V40" i="19" s="1"/>
  <c r="T24" i="19"/>
  <c r="T40" i="19" s="1"/>
  <c r="R24" i="19"/>
  <c r="R40" i="19" s="1"/>
  <c r="Q24" i="19"/>
  <c r="Q40" i="19" s="1"/>
  <c r="P24" i="19"/>
  <c r="S24" i="19" s="1"/>
  <c r="N24" i="19"/>
  <c r="N40" i="19" s="1"/>
  <c r="L24" i="19"/>
  <c r="M24" i="19" s="1"/>
  <c r="K24" i="19"/>
  <c r="J24" i="19"/>
  <c r="J40" i="19" s="1"/>
  <c r="H24" i="19"/>
  <c r="H40" i="19" s="1"/>
  <c r="F24" i="19"/>
  <c r="F40" i="19" s="1"/>
  <c r="E24" i="19"/>
  <c r="E40" i="19" s="1"/>
  <c r="D24" i="19"/>
  <c r="G24" i="19" s="1"/>
  <c r="Y23" i="19"/>
  <c r="AA23" i="19" s="1"/>
  <c r="AB23" i="19" s="1"/>
  <c r="U23" i="19"/>
  <c r="S23" i="19"/>
  <c r="M23" i="19"/>
  <c r="O23" i="19" s="1"/>
  <c r="I23" i="19"/>
  <c r="G23" i="19"/>
  <c r="Y22" i="19"/>
  <c r="AA22" i="19" s="1"/>
  <c r="AB22" i="19" s="1"/>
  <c r="U22" i="19"/>
  <c r="S22" i="19"/>
  <c r="M22" i="19"/>
  <c r="O22" i="19" s="1"/>
  <c r="I22" i="19"/>
  <c r="G22" i="19"/>
  <c r="AA21" i="19"/>
  <c r="AB21" i="19" s="1"/>
  <c r="Y21" i="19"/>
  <c r="S21" i="19"/>
  <c r="U21" i="19" s="1"/>
  <c r="O21" i="19"/>
  <c r="M21" i="19"/>
  <c r="G21" i="19"/>
  <c r="I21" i="19" s="1"/>
  <c r="AB20" i="19"/>
  <c r="AA20" i="19"/>
  <c r="Y20" i="19"/>
  <c r="S20" i="19"/>
  <c r="U20" i="19" s="1"/>
  <c r="O20" i="19"/>
  <c r="M20" i="19"/>
  <c r="G20" i="19"/>
  <c r="I20" i="19" s="1"/>
  <c r="Y19" i="19"/>
  <c r="AA19" i="19" s="1"/>
  <c r="U19" i="19"/>
  <c r="S19" i="19"/>
  <c r="M19" i="19"/>
  <c r="O19" i="19" s="1"/>
  <c r="I19" i="19"/>
  <c r="G19" i="19"/>
  <c r="Y18" i="19"/>
  <c r="AA18" i="19" s="1"/>
  <c r="U18" i="19"/>
  <c r="S18" i="19"/>
  <c r="M18" i="19"/>
  <c r="O18" i="19" s="1"/>
  <c r="I18" i="19"/>
  <c r="G18" i="19"/>
  <c r="AA17" i="19"/>
  <c r="AB17" i="19" s="1"/>
  <c r="Y17" i="19"/>
  <c r="S17" i="19"/>
  <c r="U17" i="19" s="1"/>
  <c r="O17" i="19"/>
  <c r="M17" i="19"/>
  <c r="G17" i="19"/>
  <c r="I17" i="19" s="1"/>
  <c r="AB16" i="19"/>
  <c r="AA16" i="19"/>
  <c r="Y16" i="19"/>
  <c r="S16" i="19"/>
  <c r="U16" i="19" s="1"/>
  <c r="O16" i="19"/>
  <c r="M16" i="19"/>
  <c r="G16" i="19"/>
  <c r="I16" i="19" s="1"/>
  <c r="Y15" i="19"/>
  <c r="AA15" i="19" s="1"/>
  <c r="U15" i="19"/>
  <c r="S15" i="19"/>
  <c r="M15" i="19"/>
  <c r="O15" i="19" s="1"/>
  <c r="I15" i="19"/>
  <c r="I24" i="19" s="1"/>
  <c r="G15" i="19"/>
  <c r="AB29" i="19" l="1"/>
  <c r="AA39" i="19"/>
  <c r="O24" i="19"/>
  <c r="O40" i="19" s="1"/>
  <c r="O41" i="19" s="1"/>
  <c r="AB19" i="19"/>
  <c r="M40" i="19"/>
  <c r="O39" i="19"/>
  <c r="AB37" i="19"/>
  <c r="AA24" i="19"/>
  <c r="AB15" i="19"/>
  <c r="AB31" i="19"/>
  <c r="U39" i="19"/>
  <c r="U24" i="19"/>
  <c r="AB18" i="19"/>
  <c r="G40" i="19"/>
  <c r="S40" i="19"/>
  <c r="I39" i="19"/>
  <c r="I40" i="19" s="1"/>
  <c r="I41" i="19" s="1"/>
  <c r="AB38" i="19"/>
  <c r="Y24" i="19"/>
  <c r="Y40" i="19" s="1"/>
  <c r="D40" i="19"/>
  <c r="L40" i="19"/>
  <c r="P40" i="19"/>
  <c r="AB39" i="19" l="1"/>
  <c r="U40" i="19"/>
  <c r="U41" i="19" s="1"/>
  <c r="AA40" i="19"/>
  <c r="AB24" i="19"/>
  <c r="AB40" i="19" l="1"/>
  <c r="AA41" i="19"/>
  <c r="AB41" i="19" s="1"/>
  <c r="Y54" i="18" l="1"/>
  <c r="S54" i="18"/>
  <c r="M54" i="18"/>
  <c r="G54" i="18"/>
  <c r="Y53" i="18"/>
  <c r="S53" i="18"/>
  <c r="M53" i="18"/>
  <c r="G53" i="18"/>
  <c r="Y52" i="18"/>
  <c r="S52" i="18"/>
  <c r="M52" i="18"/>
  <c r="G52" i="18"/>
  <c r="Y51" i="18"/>
  <c r="S51" i="18"/>
  <c r="M51" i="18"/>
  <c r="G51" i="18"/>
  <c r="X50" i="18"/>
  <c r="W50" i="18"/>
  <c r="V50" i="18"/>
  <c r="Y50" i="18" s="1"/>
  <c r="R50" i="18"/>
  <c r="Q50" i="18"/>
  <c r="S50" i="18" s="1"/>
  <c r="M50" i="18"/>
  <c r="L50" i="18"/>
  <c r="K50" i="18"/>
  <c r="F50" i="18"/>
  <c r="E50" i="18"/>
  <c r="D50" i="18"/>
  <c r="G50" i="18" s="1"/>
  <c r="X40" i="18"/>
  <c r="T40" i="18"/>
  <c r="P40" i="18"/>
  <c r="L40" i="18"/>
  <c r="H40" i="18"/>
  <c r="D40" i="18"/>
  <c r="Z39" i="18"/>
  <c r="Y39" i="18"/>
  <c r="X39" i="18"/>
  <c r="W39" i="18"/>
  <c r="V39" i="18"/>
  <c r="T39" i="18"/>
  <c r="R39" i="18"/>
  <c r="Q39" i="18"/>
  <c r="S39" i="18" s="1"/>
  <c r="P39" i="18"/>
  <c r="N39" i="18"/>
  <c r="M39" i="18"/>
  <c r="L39" i="18"/>
  <c r="K39" i="18"/>
  <c r="J39" i="18"/>
  <c r="H39" i="18"/>
  <c r="F39" i="18"/>
  <c r="E39" i="18"/>
  <c r="G39" i="18" s="1"/>
  <c r="D39" i="18"/>
  <c r="Y38" i="18"/>
  <c r="AA38" i="18" s="1"/>
  <c r="AB38" i="18" s="1"/>
  <c r="S38" i="18"/>
  <c r="U38" i="18" s="1"/>
  <c r="M38" i="18"/>
  <c r="O38" i="18" s="1"/>
  <c r="G38" i="18"/>
  <c r="I38" i="18" s="1"/>
  <c r="AA37" i="18"/>
  <c r="AB37" i="18" s="1"/>
  <c r="Y37" i="18"/>
  <c r="U37" i="18"/>
  <c r="S37" i="18"/>
  <c r="O37" i="18"/>
  <c r="M37" i="18"/>
  <c r="I37" i="18"/>
  <c r="G37" i="18"/>
  <c r="Y36" i="18"/>
  <c r="AA36" i="18" s="1"/>
  <c r="AB36" i="18" s="1"/>
  <c r="S36" i="18"/>
  <c r="U36" i="18" s="1"/>
  <c r="M36" i="18"/>
  <c r="O36" i="18" s="1"/>
  <c r="G36" i="18"/>
  <c r="I36" i="18" s="1"/>
  <c r="AA35" i="18"/>
  <c r="AB35" i="18" s="1"/>
  <c r="Y35" i="18"/>
  <c r="U35" i="18"/>
  <c r="U39" i="18" s="1"/>
  <c r="S35" i="18"/>
  <c r="O35" i="18"/>
  <c r="O39" i="18" s="1"/>
  <c r="M35" i="18"/>
  <c r="I35" i="18"/>
  <c r="I39" i="18" s="1"/>
  <c r="G35" i="18"/>
  <c r="Y34" i="18"/>
  <c r="AA34" i="18" s="1"/>
  <c r="AB34" i="18" s="1"/>
  <c r="S34" i="18"/>
  <c r="U34" i="18" s="1"/>
  <c r="M34" i="18"/>
  <c r="O34" i="18" s="1"/>
  <c r="G34" i="18"/>
  <c r="I34" i="18" s="1"/>
  <c r="AA33" i="18"/>
  <c r="AB33" i="18" s="1"/>
  <c r="Y33" i="18"/>
  <c r="U33" i="18"/>
  <c r="S33" i="18"/>
  <c r="O33" i="18"/>
  <c r="M33" i="18"/>
  <c r="I33" i="18"/>
  <c r="G33" i="18"/>
  <c r="Y32" i="18"/>
  <c r="AA32" i="18" s="1"/>
  <c r="AB32" i="18" s="1"/>
  <c r="S32" i="18"/>
  <c r="U32" i="18" s="1"/>
  <c r="M32" i="18"/>
  <c r="O32" i="18" s="1"/>
  <c r="G32" i="18"/>
  <c r="I32" i="18" s="1"/>
  <c r="AA31" i="18"/>
  <c r="AB31" i="18" s="1"/>
  <c r="Y31" i="18"/>
  <c r="U31" i="18"/>
  <c r="S31" i="18"/>
  <c r="O31" i="18"/>
  <c r="M31" i="18"/>
  <c r="I31" i="18"/>
  <c r="G31" i="18"/>
  <c r="Y30" i="18"/>
  <c r="AA30" i="18" s="1"/>
  <c r="AB30" i="18" s="1"/>
  <c r="S30" i="18"/>
  <c r="U30" i="18" s="1"/>
  <c r="M30" i="18"/>
  <c r="O30" i="18" s="1"/>
  <c r="G30" i="18"/>
  <c r="I30" i="18" s="1"/>
  <c r="AA29" i="18"/>
  <c r="AB29" i="18" s="1"/>
  <c r="Y29" i="18"/>
  <c r="U29" i="18"/>
  <c r="S29" i="18"/>
  <c r="O29" i="18"/>
  <c r="M29" i="18"/>
  <c r="I29" i="18"/>
  <c r="G29" i="18"/>
  <c r="Y28" i="18"/>
  <c r="AA28" i="18" s="1"/>
  <c r="AB28" i="18" s="1"/>
  <c r="S28" i="18"/>
  <c r="U28" i="18" s="1"/>
  <c r="M28" i="18"/>
  <c r="O28" i="18" s="1"/>
  <c r="G28" i="18"/>
  <c r="I28" i="18" s="1"/>
  <c r="Z24" i="18"/>
  <c r="Z40" i="18" s="1"/>
  <c r="Y24" i="18"/>
  <c r="Y40" i="18" s="1"/>
  <c r="X24" i="18"/>
  <c r="W24" i="18"/>
  <c r="W40" i="18" s="1"/>
  <c r="V24" i="18"/>
  <c r="V40" i="18" s="1"/>
  <c r="T24" i="18"/>
  <c r="R24" i="18"/>
  <c r="R40" i="18" s="1"/>
  <c r="Q24" i="18"/>
  <c r="S24" i="18" s="1"/>
  <c r="S40" i="18" s="1"/>
  <c r="P24" i="18"/>
  <c r="N24" i="18"/>
  <c r="N40" i="18" s="1"/>
  <c r="M24" i="18"/>
  <c r="M40" i="18" s="1"/>
  <c r="L24" i="18"/>
  <c r="K24" i="18"/>
  <c r="K40" i="18" s="1"/>
  <c r="J24" i="18"/>
  <c r="J40" i="18" s="1"/>
  <c r="H24" i="18"/>
  <c r="F24" i="18"/>
  <c r="F40" i="18" s="1"/>
  <c r="E24" i="18"/>
  <c r="G24" i="18" s="1"/>
  <c r="G40" i="18" s="1"/>
  <c r="D24" i="18"/>
  <c r="Y23" i="18"/>
  <c r="AA23" i="18" s="1"/>
  <c r="S23" i="18"/>
  <c r="U23" i="18" s="1"/>
  <c r="M23" i="18"/>
  <c r="O23" i="18" s="1"/>
  <c r="G23" i="18"/>
  <c r="I23" i="18" s="1"/>
  <c r="AA22" i="18"/>
  <c r="AB22" i="18" s="1"/>
  <c r="Y22" i="18"/>
  <c r="U22" i="18"/>
  <c r="S22" i="18"/>
  <c r="O22" i="18"/>
  <c r="M22" i="18"/>
  <c r="I22" i="18"/>
  <c r="G22" i="18"/>
  <c r="Y21" i="18"/>
  <c r="AA21" i="18" s="1"/>
  <c r="S21" i="18"/>
  <c r="U21" i="18" s="1"/>
  <c r="M21" i="18"/>
  <c r="O21" i="18" s="1"/>
  <c r="G21" i="18"/>
  <c r="I21" i="18" s="1"/>
  <c r="AA20" i="18"/>
  <c r="AB20" i="18" s="1"/>
  <c r="Y20" i="18"/>
  <c r="U20" i="18"/>
  <c r="S20" i="18"/>
  <c r="O20" i="18"/>
  <c r="M20" i="18"/>
  <c r="I20" i="18"/>
  <c r="G20" i="18"/>
  <c r="Y19" i="18"/>
  <c r="AA19" i="18" s="1"/>
  <c r="S19" i="18"/>
  <c r="U19" i="18" s="1"/>
  <c r="M19" i="18"/>
  <c r="O19" i="18" s="1"/>
  <c r="G19" i="18"/>
  <c r="I19" i="18" s="1"/>
  <c r="AA18" i="18"/>
  <c r="AB18" i="18" s="1"/>
  <c r="Y18" i="18"/>
  <c r="U18" i="18"/>
  <c r="S18" i="18"/>
  <c r="O18" i="18"/>
  <c r="M18" i="18"/>
  <c r="I18" i="18"/>
  <c r="G18" i="18"/>
  <c r="Y17" i="18"/>
  <c r="AA17" i="18" s="1"/>
  <c r="S17" i="18"/>
  <c r="U17" i="18" s="1"/>
  <c r="M17" i="18"/>
  <c r="O17" i="18" s="1"/>
  <c r="G17" i="18"/>
  <c r="I17" i="18" s="1"/>
  <c r="AA16" i="18"/>
  <c r="AB16" i="18" s="1"/>
  <c r="Y16" i="18"/>
  <c r="U16" i="18"/>
  <c r="S16" i="18"/>
  <c r="O16" i="18"/>
  <c r="M16" i="18"/>
  <c r="I16" i="18"/>
  <c r="G16" i="18"/>
  <c r="Y15" i="18"/>
  <c r="AA15" i="18" s="1"/>
  <c r="S15" i="18"/>
  <c r="U15" i="18" s="1"/>
  <c r="U24" i="18" s="1"/>
  <c r="M15" i="18"/>
  <c r="O15" i="18" s="1"/>
  <c r="G15" i="18"/>
  <c r="I15" i="18" s="1"/>
  <c r="I24" i="18" s="1"/>
  <c r="U40" i="18" l="1"/>
  <c r="U41" i="18" s="1"/>
  <c r="O24" i="18"/>
  <c r="O40" i="18" s="1"/>
  <c r="O41" i="18" s="1"/>
  <c r="AA24" i="18"/>
  <c r="AB15" i="18"/>
  <c r="AB17" i="18"/>
  <c r="AB19" i="18"/>
  <c r="AB21" i="18"/>
  <c r="AB23" i="18"/>
  <c r="I40" i="18"/>
  <c r="I41" i="18" s="1"/>
  <c r="E40" i="18"/>
  <c r="Q40" i="18"/>
  <c r="AA39" i="18"/>
  <c r="AB39" i="18" s="1"/>
  <c r="AA40" i="18" l="1"/>
  <c r="AB24" i="18"/>
  <c r="AB40" i="18" l="1"/>
  <c r="AA41" i="18"/>
  <c r="AB41" i="18" s="1"/>
  <c r="Y54" i="17" l="1"/>
  <c r="S54" i="17"/>
  <c r="M54" i="17"/>
  <c r="G54" i="17"/>
  <c r="Y53" i="17"/>
  <c r="S53" i="17"/>
  <c r="M53" i="17"/>
  <c r="G53" i="17"/>
  <c r="Y52" i="17"/>
  <c r="S52" i="17"/>
  <c r="M52" i="17"/>
  <c r="G52" i="17"/>
  <c r="Y51" i="17"/>
  <c r="S51" i="17"/>
  <c r="M51" i="17"/>
  <c r="G51" i="17"/>
  <c r="Y50" i="17"/>
  <c r="S50" i="17"/>
  <c r="M50" i="17"/>
  <c r="G50" i="17"/>
  <c r="Z40" i="17"/>
  <c r="V40" i="17"/>
  <c r="R40" i="17"/>
  <c r="N40" i="17"/>
  <c r="J40" i="17"/>
  <c r="F40" i="17"/>
  <c r="Z39" i="17"/>
  <c r="X39" i="17"/>
  <c r="W39" i="17"/>
  <c r="V39" i="17"/>
  <c r="Y39" i="17" s="1"/>
  <c r="T39" i="17"/>
  <c r="S39" i="17"/>
  <c r="R39" i="17"/>
  <c r="Q39" i="17"/>
  <c r="P39" i="17"/>
  <c r="N39" i="17"/>
  <c r="L39" i="17"/>
  <c r="K39" i="17"/>
  <c r="J39" i="17"/>
  <c r="M39" i="17" s="1"/>
  <c r="H39" i="17"/>
  <c r="G39" i="17"/>
  <c r="F39" i="17"/>
  <c r="E39" i="17"/>
  <c r="D39" i="17"/>
  <c r="Y38" i="17"/>
  <c r="AA38" i="17" s="1"/>
  <c r="AB38" i="17" s="1"/>
  <c r="S38" i="17"/>
  <c r="U38" i="17" s="1"/>
  <c r="M38" i="17"/>
  <c r="O38" i="17" s="1"/>
  <c r="G38" i="17"/>
  <c r="I38" i="17" s="1"/>
  <c r="Y37" i="17"/>
  <c r="AA37" i="17" s="1"/>
  <c r="AB37" i="17" s="1"/>
  <c r="U37" i="17"/>
  <c r="S37" i="17"/>
  <c r="M37" i="17"/>
  <c r="O37" i="17" s="1"/>
  <c r="I37" i="17"/>
  <c r="G37" i="17"/>
  <c r="Y36" i="17"/>
  <c r="AA36" i="17" s="1"/>
  <c r="S36" i="17"/>
  <c r="U36" i="17" s="1"/>
  <c r="M36" i="17"/>
  <c r="O36" i="17" s="1"/>
  <c r="G36" i="17"/>
  <c r="I36" i="17" s="1"/>
  <c r="AA35" i="17"/>
  <c r="AB35" i="17" s="1"/>
  <c r="Y35" i="17"/>
  <c r="S35" i="17"/>
  <c r="U35" i="17" s="1"/>
  <c r="O35" i="17"/>
  <c r="M35" i="17"/>
  <c r="G35" i="17"/>
  <c r="I35" i="17" s="1"/>
  <c r="Y34" i="17"/>
  <c r="AA34" i="17" s="1"/>
  <c r="AB34" i="17" s="1"/>
  <c r="S34" i="17"/>
  <c r="U34" i="17" s="1"/>
  <c r="M34" i="17"/>
  <c r="O34" i="17" s="1"/>
  <c r="G34" i="17"/>
  <c r="I34" i="17" s="1"/>
  <c r="Y33" i="17"/>
  <c r="AA33" i="17" s="1"/>
  <c r="AB33" i="17" s="1"/>
  <c r="U33" i="17"/>
  <c r="S33" i="17"/>
  <c r="M33" i="17"/>
  <c r="O33" i="17" s="1"/>
  <c r="I33" i="17"/>
  <c r="G33" i="17"/>
  <c r="Y32" i="17"/>
  <c r="AA32" i="17" s="1"/>
  <c r="S32" i="17"/>
  <c r="U32" i="17" s="1"/>
  <c r="M32" i="17"/>
  <c r="O32" i="17" s="1"/>
  <c r="G32" i="17"/>
  <c r="I32" i="17" s="1"/>
  <c r="AA31" i="17"/>
  <c r="AB31" i="17" s="1"/>
  <c r="Y31" i="17"/>
  <c r="S31" i="17"/>
  <c r="U31" i="17" s="1"/>
  <c r="O31" i="17"/>
  <c r="M31" i="17"/>
  <c r="G31" i="17"/>
  <c r="I31" i="17" s="1"/>
  <c r="Y30" i="17"/>
  <c r="AA30" i="17" s="1"/>
  <c r="AB30" i="17" s="1"/>
  <c r="S30" i="17"/>
  <c r="U30" i="17" s="1"/>
  <c r="M30" i="17"/>
  <c r="O30" i="17" s="1"/>
  <c r="G30" i="17"/>
  <c r="I30" i="17" s="1"/>
  <c r="Y29" i="17"/>
  <c r="AA29" i="17" s="1"/>
  <c r="AB29" i="17" s="1"/>
  <c r="U29" i="17"/>
  <c r="S29" i="17"/>
  <c r="M29" i="17"/>
  <c r="O29" i="17" s="1"/>
  <c r="I29" i="17"/>
  <c r="G29" i="17"/>
  <c r="Y28" i="17"/>
  <c r="AA28" i="17" s="1"/>
  <c r="U28" i="17"/>
  <c r="S28" i="17"/>
  <c r="M28" i="17"/>
  <c r="O28" i="17" s="1"/>
  <c r="I28" i="17"/>
  <c r="G28" i="17"/>
  <c r="Z24" i="17"/>
  <c r="X24" i="17"/>
  <c r="X40" i="17" s="1"/>
  <c r="W24" i="17"/>
  <c r="W40" i="17" s="1"/>
  <c r="V24" i="17"/>
  <c r="Y24" i="17" s="1"/>
  <c r="T24" i="17"/>
  <c r="T40" i="17" s="1"/>
  <c r="S24" i="17"/>
  <c r="S40" i="17" s="1"/>
  <c r="R24" i="17"/>
  <c r="Q24" i="17"/>
  <c r="Q40" i="17" s="1"/>
  <c r="P24" i="17"/>
  <c r="P40" i="17" s="1"/>
  <c r="N24" i="17"/>
  <c r="L24" i="17"/>
  <c r="L40" i="17" s="1"/>
  <c r="K24" i="17"/>
  <c r="K40" i="17" s="1"/>
  <c r="J24" i="17"/>
  <c r="M24" i="17" s="1"/>
  <c r="M40" i="17" s="1"/>
  <c r="H24" i="17"/>
  <c r="H40" i="17" s="1"/>
  <c r="G24" i="17"/>
  <c r="G40" i="17" s="1"/>
  <c r="F24" i="17"/>
  <c r="E24" i="17"/>
  <c r="E40" i="17" s="1"/>
  <c r="D24" i="17"/>
  <c r="D40" i="17" s="1"/>
  <c r="Y23" i="17"/>
  <c r="AA23" i="17" s="1"/>
  <c r="S23" i="17"/>
  <c r="U23" i="17" s="1"/>
  <c r="M23" i="17"/>
  <c r="O23" i="17" s="1"/>
  <c r="G23" i="17"/>
  <c r="I23" i="17" s="1"/>
  <c r="Y22" i="17"/>
  <c r="AA22" i="17" s="1"/>
  <c r="U22" i="17"/>
  <c r="S22" i="17"/>
  <c r="M22" i="17"/>
  <c r="O22" i="17" s="1"/>
  <c r="I22" i="17"/>
  <c r="G22" i="17"/>
  <c r="Y21" i="17"/>
  <c r="AA21" i="17" s="1"/>
  <c r="AB21" i="17" s="1"/>
  <c r="U21" i="17"/>
  <c r="M21" i="17"/>
  <c r="O21" i="17" s="1"/>
  <c r="I21" i="17"/>
  <c r="G21" i="17"/>
  <c r="Y20" i="17"/>
  <c r="AA20" i="17" s="1"/>
  <c r="AB20" i="17" s="1"/>
  <c r="S20" i="17"/>
  <c r="U20" i="17" s="1"/>
  <c r="M20" i="17"/>
  <c r="O20" i="17" s="1"/>
  <c r="I20" i="17"/>
  <c r="Y19" i="17"/>
  <c r="AA19" i="17" s="1"/>
  <c r="AB19" i="17" s="1"/>
  <c r="U19" i="17"/>
  <c r="S19" i="17"/>
  <c r="M19" i="17"/>
  <c r="O19" i="17" s="1"/>
  <c r="G19" i="17"/>
  <c r="I19" i="17" s="1"/>
  <c r="AA18" i="17"/>
  <c r="AB18" i="17" s="1"/>
  <c r="Y18" i="17"/>
  <c r="U18" i="17"/>
  <c r="S18" i="17"/>
  <c r="O18" i="17"/>
  <c r="M18" i="17"/>
  <c r="I18" i="17"/>
  <c r="G18" i="17"/>
  <c r="Y17" i="17"/>
  <c r="AA17" i="17" s="1"/>
  <c r="S17" i="17"/>
  <c r="U17" i="17" s="1"/>
  <c r="M17" i="17"/>
  <c r="O17" i="17" s="1"/>
  <c r="G17" i="17"/>
  <c r="I17" i="17" s="1"/>
  <c r="AA16" i="17"/>
  <c r="AB16" i="17" s="1"/>
  <c r="Y16" i="17"/>
  <c r="U16" i="17"/>
  <c r="S16" i="17"/>
  <c r="O16" i="17"/>
  <c r="M16" i="17"/>
  <c r="I16" i="17"/>
  <c r="G16" i="17"/>
  <c r="Y15" i="17"/>
  <c r="AA15" i="17" s="1"/>
  <c r="U15" i="17"/>
  <c r="U24" i="17" s="1"/>
  <c r="S15" i="17"/>
  <c r="M15" i="17"/>
  <c r="O15" i="17" s="1"/>
  <c r="O24" i="17" s="1"/>
  <c r="I15" i="17"/>
  <c r="G15" i="17"/>
  <c r="O40" i="17" l="1"/>
  <c r="O41" i="17" s="1"/>
  <c r="O39" i="17"/>
  <c r="U39" i="17"/>
  <c r="U40" i="17"/>
  <c r="U41" i="17" s="1"/>
  <c r="Y40" i="17"/>
  <c r="I39" i="17"/>
  <c r="I24" i="17"/>
  <c r="AA24" i="17"/>
  <c r="AB15" i="17"/>
  <c r="AB17" i="17"/>
  <c r="AB22" i="17"/>
  <c r="AB23" i="17"/>
  <c r="AB28" i="17"/>
  <c r="AB32" i="17"/>
  <c r="AB36" i="17"/>
  <c r="AA39" i="17"/>
  <c r="AB39" i="17" s="1"/>
  <c r="AA40" i="17" l="1"/>
  <c r="AB24" i="17"/>
  <c r="I40" i="17"/>
  <c r="I41" i="17" s="1"/>
  <c r="AA41" i="17" l="1"/>
  <c r="AB41" i="17" s="1"/>
  <c r="AB40" i="17"/>
  <c r="Y54" i="16" l="1"/>
  <c r="S54" i="16"/>
  <c r="M54" i="16"/>
  <c r="G54" i="16"/>
  <c r="Y53" i="16"/>
  <c r="S53" i="16"/>
  <c r="M53" i="16"/>
  <c r="G53" i="16"/>
  <c r="Y52" i="16"/>
  <c r="S52" i="16"/>
  <c r="M52" i="16"/>
  <c r="G52" i="16"/>
  <c r="G50" i="16" s="1"/>
  <c r="W51" i="16"/>
  <c r="Y51" i="16" s="1"/>
  <c r="Y50" i="16" s="1"/>
  <c r="S51" i="16"/>
  <c r="S50" i="16" s="1"/>
  <c r="M51" i="16"/>
  <c r="G51" i="16"/>
  <c r="X50" i="16"/>
  <c r="W50" i="16"/>
  <c r="V50" i="16"/>
  <c r="R50" i="16"/>
  <c r="Q50" i="16"/>
  <c r="P50" i="16"/>
  <c r="M50" i="16"/>
  <c r="F50" i="16"/>
  <c r="E50" i="16"/>
  <c r="D50" i="16"/>
  <c r="V44" i="16"/>
  <c r="P44" i="16"/>
  <c r="D44" i="16"/>
  <c r="Z39" i="16"/>
  <c r="X39" i="16"/>
  <c r="V39" i="16"/>
  <c r="J39" i="16"/>
  <c r="H39" i="16"/>
  <c r="W38" i="16"/>
  <c r="Y38" i="16" s="1"/>
  <c r="AA38" i="16" s="1"/>
  <c r="Q38" i="16"/>
  <c r="P38" i="16"/>
  <c r="S38" i="16" s="1"/>
  <c r="U38" i="16" s="1"/>
  <c r="M38" i="16"/>
  <c r="O38" i="16" s="1"/>
  <c r="G38" i="16"/>
  <c r="I38" i="16" s="1"/>
  <c r="F38" i="16"/>
  <c r="F39" i="16" s="1"/>
  <c r="E38" i="16"/>
  <c r="D38" i="16"/>
  <c r="Y37" i="16"/>
  <c r="AA37" i="16" s="1"/>
  <c r="S37" i="16"/>
  <c r="U37" i="16" s="1"/>
  <c r="M37" i="16"/>
  <c r="O37" i="16" s="1"/>
  <c r="G37" i="16"/>
  <c r="I37" i="16" s="1"/>
  <c r="Y36" i="16"/>
  <c r="AA36" i="16" s="1"/>
  <c r="U36" i="16"/>
  <c r="S36" i="16"/>
  <c r="M36" i="16"/>
  <c r="O36" i="16" s="1"/>
  <c r="I36" i="16"/>
  <c r="G36" i="16"/>
  <c r="Y35" i="16"/>
  <c r="AA35" i="16" s="1"/>
  <c r="W35" i="16"/>
  <c r="W39" i="16" s="1"/>
  <c r="Y39" i="16" s="1"/>
  <c r="S35" i="16"/>
  <c r="U35" i="16" s="1"/>
  <c r="O35" i="16"/>
  <c r="M35" i="16"/>
  <c r="E35" i="16"/>
  <c r="E39" i="16" s="1"/>
  <c r="D35" i="16"/>
  <c r="Y34" i="16"/>
  <c r="AA34" i="16" s="1"/>
  <c r="AB34" i="16" s="1"/>
  <c r="W34" i="16"/>
  <c r="Q34" i="16"/>
  <c r="S34" i="16" s="1"/>
  <c r="U34" i="16" s="1"/>
  <c r="M34" i="16"/>
  <c r="O34" i="16" s="1"/>
  <c r="G34" i="16"/>
  <c r="I34" i="16" s="1"/>
  <c r="E34" i="16"/>
  <c r="Y33" i="16"/>
  <c r="AA33" i="16" s="1"/>
  <c r="AB33" i="16" s="1"/>
  <c r="W33" i="16"/>
  <c r="Q33" i="16"/>
  <c r="S33" i="16" s="1"/>
  <c r="U33" i="16" s="1"/>
  <c r="M33" i="16"/>
  <c r="O33" i="16" s="1"/>
  <c r="G33" i="16"/>
  <c r="I33" i="16" s="1"/>
  <c r="I32" i="16" s="1"/>
  <c r="E33" i="16"/>
  <c r="D33" i="16"/>
  <c r="W32" i="16"/>
  <c r="Y32" i="16" s="1"/>
  <c r="AA32" i="16" s="1"/>
  <c r="T32" i="16"/>
  <c r="T39" i="16" s="1"/>
  <c r="R32" i="16"/>
  <c r="P32" i="16"/>
  <c r="N32" i="16"/>
  <c r="N39" i="16" s="1"/>
  <c r="L32" i="16"/>
  <c r="L39" i="16" s="1"/>
  <c r="K32" i="16"/>
  <c r="K39" i="16" s="1"/>
  <c r="K40" i="16" s="1"/>
  <c r="H32" i="16"/>
  <c r="G32" i="16"/>
  <c r="F32" i="16"/>
  <c r="E32" i="16"/>
  <c r="D32" i="16"/>
  <c r="X31" i="16"/>
  <c r="W31" i="16"/>
  <c r="Y31" i="16" s="1"/>
  <c r="AA31" i="16" s="1"/>
  <c r="R31" i="16"/>
  <c r="Q31" i="16"/>
  <c r="P31" i="16"/>
  <c r="S31" i="16" s="1"/>
  <c r="U31" i="16" s="1"/>
  <c r="M31" i="16"/>
  <c r="O31" i="16" s="1"/>
  <c r="F31" i="16"/>
  <c r="E31" i="16"/>
  <c r="D31" i="16"/>
  <c r="G31" i="16" s="1"/>
  <c r="I31" i="16" s="1"/>
  <c r="Y30" i="16"/>
  <c r="AA30" i="16" s="1"/>
  <c r="U30" i="16"/>
  <c r="S30" i="16"/>
  <c r="P30" i="16"/>
  <c r="M30" i="16"/>
  <c r="O30" i="16" s="1"/>
  <c r="D30" i="16"/>
  <c r="G30" i="16" s="1"/>
  <c r="I30" i="16" s="1"/>
  <c r="X29" i="16"/>
  <c r="W29" i="16"/>
  <c r="Y29" i="16" s="1"/>
  <c r="AA29" i="16" s="1"/>
  <c r="R29" i="16"/>
  <c r="R39" i="16" s="1"/>
  <c r="Q29" i="16"/>
  <c r="P29" i="16"/>
  <c r="S29" i="16" s="1"/>
  <c r="U29" i="16" s="1"/>
  <c r="M29" i="16"/>
  <c r="O29" i="16" s="1"/>
  <c r="F29" i="16"/>
  <c r="E29" i="16"/>
  <c r="D29" i="16"/>
  <c r="G29" i="16" s="1"/>
  <c r="I29" i="16" s="1"/>
  <c r="AA28" i="16"/>
  <c r="Y28" i="16"/>
  <c r="U28" i="16"/>
  <c r="S28" i="16"/>
  <c r="O28" i="16"/>
  <c r="AB28" i="16" s="1"/>
  <c r="M28" i="16"/>
  <c r="I28" i="16"/>
  <c r="G28" i="16"/>
  <c r="Z24" i="16"/>
  <c r="Z40" i="16" s="1"/>
  <c r="X24" i="16"/>
  <c r="X40" i="16" s="1"/>
  <c r="V24" i="16"/>
  <c r="V40" i="16" s="1"/>
  <c r="T24" i="16"/>
  <c r="R24" i="16"/>
  <c r="P24" i="16"/>
  <c r="N24" i="16"/>
  <c r="L24" i="16"/>
  <c r="K24" i="16"/>
  <c r="J24" i="16"/>
  <c r="J40" i="16" s="1"/>
  <c r="H24" i="16"/>
  <c r="H40" i="16" s="1"/>
  <c r="F24" i="16"/>
  <c r="F40" i="16" s="1"/>
  <c r="D24" i="16"/>
  <c r="AA23" i="16"/>
  <c r="AB23" i="16" s="1"/>
  <c r="Y23" i="16"/>
  <c r="S23" i="16"/>
  <c r="U23" i="16" s="1"/>
  <c r="O23" i="16"/>
  <c r="M23" i="16"/>
  <c r="G23" i="16"/>
  <c r="I23" i="16" s="1"/>
  <c r="AB22" i="16"/>
  <c r="AA22" i="16"/>
  <c r="Y22" i="16"/>
  <c r="S22" i="16"/>
  <c r="U22" i="16" s="1"/>
  <c r="O22" i="16"/>
  <c r="M22" i="16"/>
  <c r="G22" i="16"/>
  <c r="I22" i="16" s="1"/>
  <c r="Y21" i="16"/>
  <c r="AA21" i="16" s="1"/>
  <c r="U21" i="16"/>
  <c r="S21" i="16"/>
  <c r="R21" i="16"/>
  <c r="M21" i="16"/>
  <c r="O21" i="16" s="1"/>
  <c r="F21" i="16"/>
  <c r="G21" i="16" s="1"/>
  <c r="I21" i="16" s="1"/>
  <c r="AB20" i="16"/>
  <c r="AA20" i="16"/>
  <c r="Y20" i="16"/>
  <c r="S20" i="16"/>
  <c r="U20" i="16" s="1"/>
  <c r="O20" i="16"/>
  <c r="M20" i="16"/>
  <c r="G20" i="16"/>
  <c r="I20" i="16" s="1"/>
  <c r="Y19" i="16"/>
  <c r="AA19" i="16" s="1"/>
  <c r="AB19" i="16" s="1"/>
  <c r="U19" i="16"/>
  <c r="S19" i="16"/>
  <c r="M19" i="16"/>
  <c r="O19" i="16" s="1"/>
  <c r="I19" i="16"/>
  <c r="G19" i="16"/>
  <c r="Y18" i="16"/>
  <c r="AA18" i="16" s="1"/>
  <c r="AB18" i="16" s="1"/>
  <c r="W18" i="16"/>
  <c r="W24" i="16" s="1"/>
  <c r="Q18" i="16"/>
  <c r="Q24" i="16" s="1"/>
  <c r="O18" i="16"/>
  <c r="M18" i="16"/>
  <c r="G18" i="16"/>
  <c r="I18" i="16" s="1"/>
  <c r="E18" i="16"/>
  <c r="E24" i="16" s="1"/>
  <c r="Y17" i="16"/>
  <c r="AA17" i="16" s="1"/>
  <c r="AB17" i="16" s="1"/>
  <c r="U17" i="16"/>
  <c r="S17" i="16"/>
  <c r="M17" i="16"/>
  <c r="O17" i="16" s="1"/>
  <c r="I17" i="16"/>
  <c r="G17" i="16"/>
  <c r="AA16" i="16"/>
  <c r="AB16" i="16" s="1"/>
  <c r="Y16" i="16"/>
  <c r="S16" i="16"/>
  <c r="U16" i="16" s="1"/>
  <c r="O16" i="16"/>
  <c r="M16" i="16"/>
  <c r="G16" i="16"/>
  <c r="I16" i="16" s="1"/>
  <c r="AB15" i="16"/>
  <c r="AA15" i="16"/>
  <c r="AA24" i="16" s="1"/>
  <c r="Y15" i="16"/>
  <c r="S15" i="16"/>
  <c r="U15" i="16" s="1"/>
  <c r="O15" i="16"/>
  <c r="O24" i="16" s="1"/>
  <c r="M15" i="16"/>
  <c r="G15" i="16"/>
  <c r="I15" i="16" s="1"/>
  <c r="AB24" i="16" l="1"/>
  <c r="AA40" i="16"/>
  <c r="AB30" i="16"/>
  <c r="AB31" i="16"/>
  <c r="R40" i="16"/>
  <c r="AB29" i="16"/>
  <c r="AB32" i="16"/>
  <c r="AA39" i="16"/>
  <c r="AB35" i="16"/>
  <c r="M39" i="16"/>
  <c r="E40" i="16"/>
  <c r="L40" i="16"/>
  <c r="T40" i="16"/>
  <c r="I24" i="16"/>
  <c r="I40" i="16" s="1"/>
  <c r="I41" i="16" s="1"/>
  <c r="W40" i="16"/>
  <c r="AB21" i="16"/>
  <c r="N40" i="16"/>
  <c r="AB36" i="16"/>
  <c r="AB37" i="16"/>
  <c r="AB38" i="16"/>
  <c r="S18" i="16"/>
  <c r="U18" i="16" s="1"/>
  <c r="U24" i="16" s="1"/>
  <c r="G24" i="16"/>
  <c r="S24" i="16"/>
  <c r="M32" i="16"/>
  <c r="O32" i="16" s="1"/>
  <c r="O39" i="16" s="1"/>
  <c r="O40" i="16" s="1"/>
  <c r="O41" i="16" s="1"/>
  <c r="Q32" i="16"/>
  <c r="S32" i="16" s="1"/>
  <c r="U32" i="16" s="1"/>
  <c r="U39" i="16" s="1"/>
  <c r="G35" i="16"/>
  <c r="I35" i="16" s="1"/>
  <c r="I39" i="16" s="1"/>
  <c r="P39" i="16"/>
  <c r="D39" i="16"/>
  <c r="G39" i="16" s="1"/>
  <c r="M24" i="16"/>
  <c r="M40" i="16" s="1"/>
  <c r="Y24" i="16"/>
  <c r="Y40" i="16" s="1"/>
  <c r="U40" i="16" l="1"/>
  <c r="U41" i="16" s="1"/>
  <c r="AA41" i="16"/>
  <c r="AB41" i="16" s="1"/>
  <c r="AB40" i="16"/>
  <c r="Q39" i="16"/>
  <c r="Q40" i="16" s="1"/>
  <c r="G40" i="16"/>
  <c r="AB39" i="16"/>
  <c r="D40" i="16"/>
  <c r="P40" i="16"/>
  <c r="S39" i="16" l="1"/>
  <c r="S40" i="16" s="1"/>
  <c r="G15" i="15" l="1"/>
  <c r="I15" i="15"/>
  <c r="O15" i="15"/>
  <c r="S15" i="15"/>
  <c r="U15" i="15" s="1"/>
  <c r="AA15" i="15"/>
  <c r="AB15" i="15" s="1"/>
  <c r="G16" i="15"/>
  <c r="I16" i="15" s="1"/>
  <c r="M16" i="15"/>
  <c r="O16" i="15" s="1"/>
  <c r="S16" i="15"/>
  <c r="U16" i="15" s="1"/>
  <c r="Y16" i="15"/>
  <c r="AA16" i="15" s="1"/>
  <c r="G17" i="15"/>
  <c r="I17" i="15"/>
  <c r="M17" i="15"/>
  <c r="O17" i="15"/>
  <c r="S17" i="15"/>
  <c r="U17" i="15"/>
  <c r="Y17" i="15"/>
  <c r="AA17" i="15"/>
  <c r="AB17" i="15" s="1"/>
  <c r="G18" i="15"/>
  <c r="I18" i="15" s="1"/>
  <c r="M18" i="15"/>
  <c r="O18" i="15" s="1"/>
  <c r="S18" i="15"/>
  <c r="U18" i="15" s="1"/>
  <c r="Y18" i="15"/>
  <c r="AA18" i="15" s="1"/>
  <c r="G19" i="15"/>
  <c r="I19" i="15"/>
  <c r="M19" i="15"/>
  <c r="O19" i="15"/>
  <c r="S19" i="15"/>
  <c r="U19" i="15"/>
  <c r="Y19" i="15"/>
  <c r="AA19" i="15"/>
  <c r="AB19" i="15" s="1"/>
  <c r="I20" i="15"/>
  <c r="M20" i="15"/>
  <c r="O20" i="15"/>
  <c r="S20" i="15"/>
  <c r="U20" i="15"/>
  <c r="Y20" i="15"/>
  <c r="AA20" i="15"/>
  <c r="AB20" i="15" s="1"/>
  <c r="I21" i="15"/>
  <c r="M21" i="15"/>
  <c r="O21" i="15"/>
  <c r="U21" i="15"/>
  <c r="Y21" i="15"/>
  <c r="AA21" i="15" s="1"/>
  <c r="AB21" i="15" s="1"/>
  <c r="G22" i="15"/>
  <c r="I22" i="15"/>
  <c r="M22" i="15"/>
  <c r="O22" i="15"/>
  <c r="S22" i="15"/>
  <c r="U22" i="15"/>
  <c r="Y22" i="15"/>
  <c r="AA22" i="15"/>
  <c r="AB22" i="15" s="1"/>
  <c r="G23" i="15"/>
  <c r="I23" i="15" s="1"/>
  <c r="M23" i="15"/>
  <c r="O23" i="15" s="1"/>
  <c r="S23" i="15"/>
  <c r="Y23" i="15"/>
  <c r="AA23" i="15"/>
  <c r="D24" i="15"/>
  <c r="G24" i="15" s="1"/>
  <c r="G40" i="15" s="1"/>
  <c r="E24" i="15"/>
  <c r="F24" i="15"/>
  <c r="H24" i="15"/>
  <c r="J24" i="15"/>
  <c r="M24" i="15" s="1"/>
  <c r="K24" i="15"/>
  <c r="L24" i="15"/>
  <c r="N24" i="15"/>
  <c r="P24" i="15"/>
  <c r="S24" i="15" s="1"/>
  <c r="S40" i="15" s="1"/>
  <c r="Q24" i="15"/>
  <c r="R24" i="15"/>
  <c r="T24" i="15"/>
  <c r="V24" i="15"/>
  <c r="Y24" i="15" s="1"/>
  <c r="W24" i="15"/>
  <c r="X24" i="15"/>
  <c r="Z24" i="15"/>
  <c r="G28" i="15"/>
  <c r="I28" i="15"/>
  <c r="M28" i="15"/>
  <c r="O28" i="15"/>
  <c r="S28" i="15"/>
  <c r="U28" i="15"/>
  <c r="Y28" i="15"/>
  <c r="AA28" i="15"/>
  <c r="AB28" i="15" s="1"/>
  <c r="G29" i="15"/>
  <c r="I29" i="15" s="1"/>
  <c r="M29" i="15"/>
  <c r="O29" i="15" s="1"/>
  <c r="U29" i="15"/>
  <c r="Y29" i="15"/>
  <c r="AA29" i="15"/>
  <c r="G30" i="15"/>
  <c r="I30" i="15" s="1"/>
  <c r="M30" i="15"/>
  <c r="O30" i="15" s="1"/>
  <c r="S30" i="15"/>
  <c r="U30" i="15" s="1"/>
  <c r="Y30" i="15"/>
  <c r="AA30" i="15" s="1"/>
  <c r="AB30" i="15" s="1"/>
  <c r="G31" i="15"/>
  <c r="I31" i="15"/>
  <c r="M31" i="15"/>
  <c r="O31" i="15"/>
  <c r="S31" i="15"/>
  <c r="U31" i="15"/>
  <c r="Y31" i="15"/>
  <c r="AA31" i="15"/>
  <c r="AB31" i="15" s="1"/>
  <c r="G32" i="15"/>
  <c r="I32" i="15" s="1"/>
  <c r="M32" i="15"/>
  <c r="O32" i="15" s="1"/>
  <c r="S32" i="15"/>
  <c r="U32" i="15" s="1"/>
  <c r="Y32" i="15"/>
  <c r="AA32" i="15" s="1"/>
  <c r="AB32" i="15" s="1"/>
  <c r="G33" i="15"/>
  <c r="I33" i="15"/>
  <c r="M33" i="15"/>
  <c r="O33" i="15"/>
  <c r="S33" i="15"/>
  <c r="U33" i="15"/>
  <c r="Y33" i="15"/>
  <c r="AA33" i="15"/>
  <c r="AB33" i="15" s="1"/>
  <c r="G34" i="15"/>
  <c r="I34" i="15" s="1"/>
  <c r="M34" i="15"/>
  <c r="O34" i="15" s="1"/>
  <c r="S34" i="15"/>
  <c r="U34" i="15" s="1"/>
  <c r="Y34" i="15"/>
  <c r="AA34" i="15" s="1"/>
  <c r="AB34" i="15" s="1"/>
  <c r="G35" i="15"/>
  <c r="I35" i="15"/>
  <c r="M35" i="15"/>
  <c r="O35" i="15"/>
  <c r="S35" i="15"/>
  <c r="U35" i="15"/>
  <c r="Y35" i="15"/>
  <c r="AA35" i="15"/>
  <c r="AB35" i="15" s="1"/>
  <c r="G36" i="15"/>
  <c r="I36" i="15" s="1"/>
  <c r="M36" i="15"/>
  <c r="O36" i="15" s="1"/>
  <c r="S36" i="15"/>
  <c r="U36" i="15" s="1"/>
  <c r="Y36" i="15"/>
  <c r="AA36" i="15" s="1"/>
  <c r="G37" i="15"/>
  <c r="I37" i="15"/>
  <c r="M37" i="15"/>
  <c r="O37" i="15"/>
  <c r="S37" i="15"/>
  <c r="U37" i="15"/>
  <c r="Y37" i="15"/>
  <c r="AA37" i="15"/>
  <c r="AB37" i="15" s="1"/>
  <c r="G38" i="15"/>
  <c r="I38" i="15" s="1"/>
  <c r="M38" i="15"/>
  <c r="O38" i="15" s="1"/>
  <c r="S38" i="15"/>
  <c r="U38" i="15" s="1"/>
  <c r="Y38" i="15"/>
  <c r="AA38" i="15" s="1"/>
  <c r="AB38" i="15" s="1"/>
  <c r="D39" i="15"/>
  <c r="E39" i="15"/>
  <c r="E40" i="15" s="1"/>
  <c r="F39" i="15"/>
  <c r="G39" i="15"/>
  <c r="H39" i="15"/>
  <c r="J39" i="15"/>
  <c r="K39" i="15"/>
  <c r="K40" i="15" s="1"/>
  <c r="L39" i="15"/>
  <c r="N39" i="15"/>
  <c r="P39" i="15"/>
  <c r="Q39" i="15"/>
  <c r="Q40" i="15" s="1"/>
  <c r="R39" i="15"/>
  <c r="S39" i="15"/>
  <c r="T39" i="15"/>
  <c r="V39" i="15"/>
  <c r="W39" i="15"/>
  <c r="W40" i="15" s="1"/>
  <c r="X39" i="15"/>
  <c r="Z39" i="15"/>
  <c r="D40" i="15"/>
  <c r="F40" i="15"/>
  <c r="H40" i="15"/>
  <c r="J40" i="15"/>
  <c r="L40" i="15"/>
  <c r="N40" i="15"/>
  <c r="P40" i="15"/>
  <c r="R40" i="15"/>
  <c r="T40" i="15"/>
  <c r="V40" i="15"/>
  <c r="X40" i="15"/>
  <c r="Z40" i="15"/>
  <c r="G50" i="15"/>
  <c r="J50" i="15" s="1"/>
  <c r="M50" i="15" s="1"/>
  <c r="Y50" i="15"/>
  <c r="G51" i="15"/>
  <c r="J51" i="15" s="1"/>
  <c r="M51" i="15" s="1"/>
  <c r="S51" i="15"/>
  <c r="Y51" i="15"/>
  <c r="G52" i="15"/>
  <c r="J52" i="15"/>
  <c r="M52" i="15" s="1"/>
  <c r="S52" i="15"/>
  <c r="Y52" i="15"/>
  <c r="G53" i="15"/>
  <c r="J53" i="15" s="1"/>
  <c r="M53" i="15" s="1"/>
  <c r="S53" i="15"/>
  <c r="Y53" i="15"/>
  <c r="G54" i="15"/>
  <c r="J54" i="15"/>
  <c r="M54" i="15" s="1"/>
  <c r="S54" i="15"/>
  <c r="Y54" i="15"/>
  <c r="I39" i="15" l="1"/>
  <c r="U24" i="15"/>
  <c r="U40" i="15" s="1"/>
  <c r="U41" i="15" s="1"/>
  <c r="AA39" i="15"/>
  <c r="AB36" i="15"/>
  <c r="AB29" i="15"/>
  <c r="O24" i="15"/>
  <c r="U39" i="15"/>
  <c r="AB23" i="15"/>
  <c r="I24" i="15"/>
  <c r="I40" i="15" s="1"/>
  <c r="I41" i="15" s="1"/>
  <c r="O39" i="15"/>
  <c r="AB18" i="15"/>
  <c r="AB16" i="15"/>
  <c r="Y39" i="15"/>
  <c r="Y40" i="15" s="1"/>
  <c r="M39" i="15"/>
  <c r="M40" i="15" s="1"/>
  <c r="AA24" i="15"/>
  <c r="Z54" i="14"/>
  <c r="Y54" i="14"/>
  <c r="R54" i="14"/>
  <c r="U54" i="14" s="1"/>
  <c r="L54" i="14"/>
  <c r="O54" i="14" s="1"/>
  <c r="X54" i="14" s="1"/>
  <c r="AA54" i="14" s="1"/>
  <c r="G54" i="14"/>
  <c r="G53" i="14"/>
  <c r="R53" i="14" s="1"/>
  <c r="U53" i="14" s="1"/>
  <c r="Y52" i="14"/>
  <c r="G52" i="14"/>
  <c r="R52" i="14" s="1"/>
  <c r="U52" i="14" s="1"/>
  <c r="Y51" i="14"/>
  <c r="Y50" i="14" s="1"/>
  <c r="G51" i="14"/>
  <c r="R51" i="14" s="1"/>
  <c r="F51" i="14"/>
  <c r="E51" i="14"/>
  <c r="E50" i="14" s="1"/>
  <c r="Z50" i="14"/>
  <c r="T50" i="14"/>
  <c r="S50" i="14"/>
  <c r="N50" i="14"/>
  <c r="M50" i="14"/>
  <c r="F50" i="14"/>
  <c r="D50" i="14"/>
  <c r="L44" i="14"/>
  <c r="D44" i="14"/>
  <c r="AB39" i="14"/>
  <c r="T39" i="14"/>
  <c r="N39" i="14"/>
  <c r="Y38" i="14"/>
  <c r="X38" i="14"/>
  <c r="AA38" i="14" s="1"/>
  <c r="AC38" i="14" s="1"/>
  <c r="AD38" i="14" s="1"/>
  <c r="T38" i="14"/>
  <c r="S38" i="14"/>
  <c r="S39" i="14" s="1"/>
  <c r="R38" i="14"/>
  <c r="R39" i="14" s="1"/>
  <c r="Q38" i="14"/>
  <c r="O38" i="14"/>
  <c r="E38" i="14"/>
  <c r="G38" i="14" s="1"/>
  <c r="K38" i="14" s="1"/>
  <c r="D38" i="14"/>
  <c r="D39" i="14" s="1"/>
  <c r="AA37" i="14"/>
  <c r="AC37" i="14" s="1"/>
  <c r="U37" i="14"/>
  <c r="W37" i="14" s="1"/>
  <c r="O37" i="14"/>
  <c r="Q37" i="14" s="1"/>
  <c r="G37" i="14"/>
  <c r="K37" i="14" s="1"/>
  <c r="AC36" i="14"/>
  <c r="AD36" i="14" s="1"/>
  <c r="AA36" i="14"/>
  <c r="W36" i="14"/>
  <c r="U36" i="14"/>
  <c r="Q36" i="14"/>
  <c r="O36" i="14"/>
  <c r="K36" i="14"/>
  <c r="G36" i="14"/>
  <c r="AA35" i="14"/>
  <c r="AC35" i="14" s="1"/>
  <c r="Y35" i="14"/>
  <c r="X35" i="14"/>
  <c r="U35" i="14"/>
  <c r="W35" i="14" s="1"/>
  <c r="O35" i="14"/>
  <c r="Q35" i="14" s="1"/>
  <c r="G35" i="14"/>
  <c r="K35" i="14" s="1"/>
  <c r="Y34" i="14"/>
  <c r="Y32" i="14" s="1"/>
  <c r="X34" i="14"/>
  <c r="AA34" i="14" s="1"/>
  <c r="AC34" i="14" s="1"/>
  <c r="V34" i="14"/>
  <c r="U34" i="14"/>
  <c r="W34" i="14" s="1"/>
  <c r="O34" i="14"/>
  <c r="Q34" i="14" s="1"/>
  <c r="G34" i="14"/>
  <c r="K34" i="14" s="1"/>
  <c r="E34" i="14"/>
  <c r="AA33" i="14"/>
  <c r="AC33" i="14" s="1"/>
  <c r="AD33" i="14" s="1"/>
  <c r="Y33" i="14"/>
  <c r="R33" i="14"/>
  <c r="U33" i="14" s="1"/>
  <c r="W33" i="14" s="1"/>
  <c r="O33" i="14"/>
  <c r="Q33" i="14" s="1"/>
  <c r="G33" i="14"/>
  <c r="K33" i="14" s="1"/>
  <c r="AB32" i="14"/>
  <c r="Z32" i="14"/>
  <c r="V32" i="14"/>
  <c r="V39" i="14" s="1"/>
  <c r="S32" i="14"/>
  <c r="R32" i="14"/>
  <c r="U32" i="14" s="1"/>
  <c r="W32" i="14" s="1"/>
  <c r="P32" i="14"/>
  <c r="P39" i="14" s="1"/>
  <c r="M32" i="14"/>
  <c r="M39" i="14" s="1"/>
  <c r="L32" i="14"/>
  <c r="L39" i="14" s="1"/>
  <c r="O39" i="14" s="1"/>
  <c r="J32" i="14"/>
  <c r="J39" i="14" s="1"/>
  <c r="G32" i="14"/>
  <c r="K32" i="14" s="1"/>
  <c r="F32" i="14"/>
  <c r="F39" i="14" s="1"/>
  <c r="E32" i="14"/>
  <c r="D32" i="14"/>
  <c r="Z31" i="14"/>
  <c r="Y31" i="14"/>
  <c r="AA31" i="14" s="1"/>
  <c r="AC31" i="14" s="1"/>
  <c r="AD31" i="14" s="1"/>
  <c r="X31" i="14"/>
  <c r="W31" i="14"/>
  <c r="U31" i="14"/>
  <c r="Q31" i="14"/>
  <c r="O31" i="14"/>
  <c r="K31" i="14"/>
  <c r="G31" i="14"/>
  <c r="AA30" i="14"/>
  <c r="AC30" i="14" s="1"/>
  <c r="U30" i="14"/>
  <c r="W30" i="14" s="1"/>
  <c r="O30" i="14"/>
  <c r="Q30" i="14" s="1"/>
  <c r="G30" i="14"/>
  <c r="K30" i="14" s="1"/>
  <c r="Z29" i="14"/>
  <c r="Z39" i="14" s="1"/>
  <c r="Y29" i="14"/>
  <c r="X29" i="14"/>
  <c r="AA29" i="14" s="1"/>
  <c r="AC29" i="14" s="1"/>
  <c r="AD29" i="14" s="1"/>
  <c r="U29" i="14"/>
  <c r="W29" i="14" s="1"/>
  <c r="O29" i="14"/>
  <c r="Q29" i="14" s="1"/>
  <c r="G29" i="14"/>
  <c r="K29" i="14" s="1"/>
  <c r="E29" i="14"/>
  <c r="AA28" i="14"/>
  <c r="AC28" i="14" s="1"/>
  <c r="X28" i="14"/>
  <c r="W28" i="14"/>
  <c r="U28" i="14"/>
  <c r="Q28" i="14"/>
  <c r="O28" i="14"/>
  <c r="K28" i="14"/>
  <c r="G28" i="14"/>
  <c r="AB24" i="14"/>
  <c r="AB40" i="14" s="1"/>
  <c r="Z24" i="14"/>
  <c r="Z40" i="14" s="1"/>
  <c r="V24" i="14"/>
  <c r="V40" i="14" s="1"/>
  <c r="R24" i="14"/>
  <c r="P24" i="14"/>
  <c r="N24" i="14"/>
  <c r="N40" i="14" s="1"/>
  <c r="M24" i="14"/>
  <c r="M40" i="14" s="1"/>
  <c r="L24" i="14"/>
  <c r="F24" i="14"/>
  <c r="F40" i="14" s="1"/>
  <c r="D24" i="14"/>
  <c r="AC23" i="14"/>
  <c r="AA23" i="14"/>
  <c r="W23" i="14"/>
  <c r="U23" i="14"/>
  <c r="Q23" i="14"/>
  <c r="O23" i="14"/>
  <c r="K23" i="14"/>
  <c r="G23" i="14"/>
  <c r="AA22" i="14"/>
  <c r="AC22" i="14" s="1"/>
  <c r="U22" i="14"/>
  <c r="W22" i="14" s="1"/>
  <c r="O22" i="14"/>
  <c r="Q22" i="14" s="1"/>
  <c r="AD22" i="14" s="1"/>
  <c r="G22" i="14"/>
  <c r="K22" i="14" s="1"/>
  <c r="AC21" i="14"/>
  <c r="AA21" i="14"/>
  <c r="T21" i="14"/>
  <c r="O21" i="14"/>
  <c r="Q21" i="14" s="1"/>
  <c r="J21" i="14"/>
  <c r="J24" i="14" s="1"/>
  <c r="J40" i="14" s="1"/>
  <c r="G21" i="14"/>
  <c r="K21" i="14" s="1"/>
  <c r="AD20" i="14"/>
  <c r="AA20" i="14"/>
  <c r="AC20" i="14" s="1"/>
  <c r="Z20" i="14"/>
  <c r="W20" i="14"/>
  <c r="U20" i="14"/>
  <c r="Q20" i="14"/>
  <c r="O20" i="14"/>
  <c r="K20" i="14"/>
  <c r="G20" i="14"/>
  <c r="AA19" i="14"/>
  <c r="AC19" i="14" s="1"/>
  <c r="AD19" i="14" s="1"/>
  <c r="U19" i="14"/>
  <c r="W19" i="14" s="1"/>
  <c r="O19" i="14"/>
  <c r="Q19" i="14" s="1"/>
  <c r="G19" i="14"/>
  <c r="K19" i="14" s="1"/>
  <c r="Y18" i="14"/>
  <c r="U18" i="14"/>
  <c r="W18" i="14" s="1"/>
  <c r="S18" i="14"/>
  <c r="S24" i="14" s="1"/>
  <c r="Q18" i="14"/>
  <c r="O18" i="14"/>
  <c r="E18" i="14"/>
  <c r="X17" i="14"/>
  <c r="U17" i="14"/>
  <c r="W17" i="14" s="1"/>
  <c r="R17" i="14"/>
  <c r="Q17" i="14"/>
  <c r="O17" i="14"/>
  <c r="K17" i="14"/>
  <c r="G17" i="14"/>
  <c r="AA16" i="14"/>
  <c r="AC16" i="14" s="1"/>
  <c r="AD16" i="14" s="1"/>
  <c r="X16" i="14"/>
  <c r="W16" i="14"/>
  <c r="U16" i="14"/>
  <c r="Q16" i="14"/>
  <c r="O16" i="14"/>
  <c r="K16" i="14"/>
  <c r="G16" i="14"/>
  <c r="AD15" i="14"/>
  <c r="AA15" i="14"/>
  <c r="AC15" i="14" s="1"/>
  <c r="U15" i="14"/>
  <c r="W15" i="14" s="1"/>
  <c r="O15" i="14"/>
  <c r="Q15" i="14" s="1"/>
  <c r="G15" i="14"/>
  <c r="K15" i="14" s="1"/>
  <c r="O40" i="15" l="1"/>
  <c r="O41" i="15" s="1"/>
  <c r="AB39" i="15"/>
  <c r="AA40" i="15"/>
  <c r="AB24" i="15"/>
  <c r="X24" i="14"/>
  <c r="AA17" i="14"/>
  <c r="AC17" i="14" s="1"/>
  <c r="AD17" i="14" s="1"/>
  <c r="G24" i="14"/>
  <c r="D40" i="14"/>
  <c r="Q24" i="14"/>
  <c r="K39" i="14"/>
  <c r="G50" i="14"/>
  <c r="E24" i="14"/>
  <c r="G18" i="14"/>
  <c r="K18" i="14" s="1"/>
  <c r="K24" i="14" s="1"/>
  <c r="K40" i="14" s="1"/>
  <c r="K41" i="14" s="1"/>
  <c r="S40" i="14"/>
  <c r="AD21" i="14"/>
  <c r="P40" i="14"/>
  <c r="AD30" i="14"/>
  <c r="Q39" i="14"/>
  <c r="AD35" i="14"/>
  <c r="AD37" i="14"/>
  <c r="R50" i="14"/>
  <c r="U50" i="14" s="1"/>
  <c r="U51" i="14"/>
  <c r="Y24" i="14"/>
  <c r="AA18" i="14"/>
  <c r="AC18" i="14" s="1"/>
  <c r="AD18" i="14" s="1"/>
  <c r="T24" i="14"/>
  <c r="T40" i="14" s="1"/>
  <c r="U21" i="14"/>
  <c r="W21" i="14" s="1"/>
  <c r="W24" i="14" s="1"/>
  <c r="W40" i="14" s="1"/>
  <c r="W41" i="14" s="1"/>
  <c r="AD23" i="14"/>
  <c r="O24" i="14"/>
  <c r="O40" i="14" s="1"/>
  <c r="L40" i="14"/>
  <c r="U24" i="14"/>
  <c r="U40" i="14" s="1"/>
  <c r="R40" i="14"/>
  <c r="AD28" i="14"/>
  <c r="AD34" i="14"/>
  <c r="G39" i="14"/>
  <c r="U39" i="14"/>
  <c r="Y39" i="14"/>
  <c r="O32" i="14"/>
  <c r="Q32" i="14" s="1"/>
  <c r="X32" i="14"/>
  <c r="AA32" i="14" s="1"/>
  <c r="AC32" i="14" s="1"/>
  <c r="AD32" i="14" s="1"/>
  <c r="L51" i="14"/>
  <c r="L52" i="14"/>
  <c r="O52" i="14" s="1"/>
  <c r="X52" i="14" s="1"/>
  <c r="AA52" i="14" s="1"/>
  <c r="L53" i="14"/>
  <c r="O53" i="14" s="1"/>
  <c r="X53" i="14" s="1"/>
  <c r="AA53" i="14" s="1"/>
  <c r="U38" i="14"/>
  <c r="W38" i="14" s="1"/>
  <c r="W39" i="14" s="1"/>
  <c r="E39" i="14"/>
  <c r="AB40" i="15" l="1"/>
  <c r="AA41" i="15"/>
  <c r="AB41" i="15" s="1"/>
  <c r="X39" i="14"/>
  <c r="AA39" i="14" s="1"/>
  <c r="G40" i="14"/>
  <c r="Y40" i="14"/>
  <c r="AC39" i="14"/>
  <c r="AD39" i="14" s="1"/>
  <c r="E40" i="14"/>
  <c r="Q40" i="14"/>
  <c r="Q41" i="14" s="1"/>
  <c r="AA24" i="14"/>
  <c r="AA40" i="14" s="1"/>
  <c r="X40" i="14"/>
  <c r="O51" i="14"/>
  <c r="L50" i="14"/>
  <c r="AC24" i="14"/>
  <c r="AC40" i="14" l="1"/>
  <c r="AD24" i="14"/>
  <c r="X51" i="14"/>
  <c r="O50" i="14"/>
  <c r="AA51" i="14" l="1"/>
  <c r="X50" i="14"/>
  <c r="AA50" i="14" s="1"/>
  <c r="AC41" i="14"/>
  <c r="AD41" i="14" s="1"/>
  <c r="AD40" i="14"/>
  <c r="Y54" i="13" l="1"/>
  <c r="S54" i="13"/>
  <c r="J54" i="13"/>
  <c r="M54" i="13" s="1"/>
  <c r="G54" i="13"/>
  <c r="Y53" i="13"/>
  <c r="S53" i="13"/>
  <c r="G53" i="13"/>
  <c r="J53" i="13" s="1"/>
  <c r="M53" i="13" s="1"/>
  <c r="Y52" i="13"/>
  <c r="S52" i="13"/>
  <c r="J52" i="13"/>
  <c r="M52" i="13" s="1"/>
  <c r="G52" i="13"/>
  <c r="Y51" i="13"/>
  <c r="S51" i="13"/>
  <c r="G51" i="13"/>
  <c r="J51" i="13" s="1"/>
  <c r="M51" i="13" s="1"/>
  <c r="Y50" i="13"/>
  <c r="S50" i="13"/>
  <c r="J50" i="13"/>
  <c r="M50" i="13" s="1"/>
  <c r="G50" i="13"/>
  <c r="W40" i="13"/>
  <c r="Q40" i="13"/>
  <c r="K40" i="13"/>
  <c r="E40" i="13"/>
  <c r="Z39" i="13"/>
  <c r="X39" i="13"/>
  <c r="W39" i="13"/>
  <c r="V39" i="13"/>
  <c r="Y39" i="13" s="1"/>
  <c r="T39" i="13"/>
  <c r="R39" i="13"/>
  <c r="Q39" i="13"/>
  <c r="P39" i="13"/>
  <c r="S39" i="13" s="1"/>
  <c r="N39" i="13"/>
  <c r="L39" i="13"/>
  <c r="K39" i="13"/>
  <c r="J39" i="13"/>
  <c r="M39" i="13" s="1"/>
  <c r="H39" i="13"/>
  <c r="F39" i="13"/>
  <c r="E39" i="13"/>
  <c r="D39" i="13"/>
  <c r="G39" i="13" s="1"/>
  <c r="AA38" i="13"/>
  <c r="AB38" i="13" s="1"/>
  <c r="Y38" i="13"/>
  <c r="U38" i="13"/>
  <c r="S38" i="13"/>
  <c r="O38" i="13"/>
  <c r="M38" i="13"/>
  <c r="I38" i="13"/>
  <c r="G38" i="13"/>
  <c r="Y37" i="13"/>
  <c r="AA37" i="13" s="1"/>
  <c r="S37" i="13"/>
  <c r="U37" i="13" s="1"/>
  <c r="M37" i="13"/>
  <c r="O37" i="13" s="1"/>
  <c r="G37" i="13"/>
  <c r="I37" i="13" s="1"/>
  <c r="AA36" i="13"/>
  <c r="AB36" i="13" s="1"/>
  <c r="Y36" i="13"/>
  <c r="U36" i="13"/>
  <c r="S36" i="13"/>
  <c r="O36" i="13"/>
  <c r="M36" i="13"/>
  <c r="I36" i="13"/>
  <c r="G36" i="13"/>
  <c r="Y35" i="13"/>
  <c r="AA35" i="13" s="1"/>
  <c r="S35" i="13"/>
  <c r="U35" i="13" s="1"/>
  <c r="M35" i="13"/>
  <c r="O35" i="13" s="1"/>
  <c r="G35" i="13"/>
  <c r="I35" i="13" s="1"/>
  <c r="AA34" i="13"/>
  <c r="AB34" i="13" s="1"/>
  <c r="Y34" i="13"/>
  <c r="U34" i="13"/>
  <c r="S34" i="13"/>
  <c r="O34" i="13"/>
  <c r="M34" i="13"/>
  <c r="I34" i="13"/>
  <c r="G34" i="13"/>
  <c r="Y33" i="13"/>
  <c r="AA33" i="13" s="1"/>
  <c r="S33" i="13"/>
  <c r="U33" i="13" s="1"/>
  <c r="M33" i="13"/>
  <c r="O33" i="13" s="1"/>
  <c r="G33" i="13"/>
  <c r="I33" i="13" s="1"/>
  <c r="AA32" i="13"/>
  <c r="AB32" i="13" s="1"/>
  <c r="Y32" i="13"/>
  <c r="U32" i="13"/>
  <c r="S32" i="13"/>
  <c r="O32" i="13"/>
  <c r="M32" i="13"/>
  <c r="I32" i="13"/>
  <c r="G32" i="13"/>
  <c r="Y31" i="13"/>
  <c r="AA31" i="13" s="1"/>
  <c r="S31" i="13"/>
  <c r="U31" i="13" s="1"/>
  <c r="M31" i="13"/>
  <c r="O31" i="13" s="1"/>
  <c r="G31" i="13"/>
  <c r="I31" i="13" s="1"/>
  <c r="AA30" i="13"/>
  <c r="AB30" i="13" s="1"/>
  <c r="Y30" i="13"/>
  <c r="U30" i="13"/>
  <c r="S30" i="13"/>
  <c r="O30" i="13"/>
  <c r="M30" i="13"/>
  <c r="I30" i="13"/>
  <c r="G30" i="13"/>
  <c r="Y29" i="13"/>
  <c r="AA29" i="13" s="1"/>
  <c r="S29" i="13"/>
  <c r="U29" i="13" s="1"/>
  <c r="M29" i="13"/>
  <c r="O29" i="13" s="1"/>
  <c r="G29" i="13"/>
  <c r="I29" i="13" s="1"/>
  <c r="AA28" i="13"/>
  <c r="AB28" i="13" s="1"/>
  <c r="Y28" i="13"/>
  <c r="U28" i="13"/>
  <c r="S28" i="13"/>
  <c r="O28" i="13"/>
  <c r="M28" i="13"/>
  <c r="I28" i="13"/>
  <c r="G28" i="13"/>
  <c r="Z24" i="13"/>
  <c r="Z40" i="13" s="1"/>
  <c r="X24" i="13"/>
  <c r="X40" i="13" s="1"/>
  <c r="W24" i="13"/>
  <c r="V24" i="13"/>
  <c r="V40" i="13" s="1"/>
  <c r="T24" i="13"/>
  <c r="T40" i="13" s="1"/>
  <c r="R24" i="13"/>
  <c r="R40" i="13" s="1"/>
  <c r="Q24" i="13"/>
  <c r="P24" i="13"/>
  <c r="S24" i="13" s="1"/>
  <c r="S40" i="13" s="1"/>
  <c r="N24" i="13"/>
  <c r="N40" i="13" s="1"/>
  <c r="L24" i="13"/>
  <c r="L40" i="13" s="1"/>
  <c r="K24" i="13"/>
  <c r="J24" i="13"/>
  <c r="J40" i="13" s="1"/>
  <c r="H24" i="13"/>
  <c r="H40" i="13" s="1"/>
  <c r="F24" i="13"/>
  <c r="F40" i="13" s="1"/>
  <c r="E24" i="13"/>
  <c r="D24" i="13"/>
  <c r="G24" i="13" s="1"/>
  <c r="G40" i="13" s="1"/>
  <c r="AA23" i="13"/>
  <c r="AB23" i="13" s="1"/>
  <c r="Y23" i="13"/>
  <c r="U23" i="13"/>
  <c r="S23" i="13"/>
  <c r="O23" i="13"/>
  <c r="M23" i="13"/>
  <c r="I23" i="13"/>
  <c r="G23" i="13"/>
  <c r="Y22" i="13"/>
  <c r="AA22" i="13" s="1"/>
  <c r="S22" i="13"/>
  <c r="U22" i="13" s="1"/>
  <c r="M22" i="13"/>
  <c r="O22" i="13" s="1"/>
  <c r="G22" i="13"/>
  <c r="I22" i="13" s="1"/>
  <c r="AA21" i="13"/>
  <c r="AB21" i="13" s="1"/>
  <c r="Y21" i="13"/>
  <c r="U21" i="13"/>
  <c r="S21" i="13"/>
  <c r="O21" i="13"/>
  <c r="M21" i="13"/>
  <c r="I21" i="13"/>
  <c r="G21" i="13"/>
  <c r="Y20" i="13"/>
  <c r="AA20" i="13" s="1"/>
  <c r="S20" i="13"/>
  <c r="U20" i="13" s="1"/>
  <c r="M20" i="13"/>
  <c r="O20" i="13" s="1"/>
  <c r="I20" i="13"/>
  <c r="Y19" i="13"/>
  <c r="AA19" i="13" s="1"/>
  <c r="S19" i="13"/>
  <c r="U19" i="13" s="1"/>
  <c r="M19" i="13"/>
  <c r="O19" i="13" s="1"/>
  <c r="G19" i="13"/>
  <c r="I19" i="13" s="1"/>
  <c r="AA18" i="13"/>
  <c r="AB18" i="13" s="1"/>
  <c r="Y18" i="13"/>
  <c r="U18" i="13"/>
  <c r="S18" i="13"/>
  <c r="O18" i="13"/>
  <c r="M18" i="13"/>
  <c r="I18" i="13"/>
  <c r="G18" i="13"/>
  <c r="Y17" i="13"/>
  <c r="AA17" i="13" s="1"/>
  <c r="S17" i="13"/>
  <c r="U17" i="13" s="1"/>
  <c r="M17" i="13"/>
  <c r="O17" i="13" s="1"/>
  <c r="G17" i="13"/>
  <c r="I17" i="13" s="1"/>
  <c r="AA16" i="13"/>
  <c r="AB16" i="13" s="1"/>
  <c r="Y16" i="13"/>
  <c r="U16" i="13"/>
  <c r="S16" i="13"/>
  <c r="O16" i="13"/>
  <c r="M16" i="13"/>
  <c r="I16" i="13"/>
  <c r="G16" i="13"/>
  <c r="Y15" i="13"/>
  <c r="AA15" i="13" s="1"/>
  <c r="S15" i="13"/>
  <c r="U15" i="13" s="1"/>
  <c r="U24" i="13" s="1"/>
  <c r="M15" i="13"/>
  <c r="O15" i="13" s="1"/>
  <c r="O24" i="13" s="1"/>
  <c r="G15" i="13"/>
  <c r="I15" i="13" s="1"/>
  <c r="I24" i="13" s="1"/>
  <c r="O39" i="13" l="1"/>
  <c r="U39" i="13"/>
  <c r="U40" i="13" s="1"/>
  <c r="U41" i="13" s="1"/>
  <c r="AB17" i="13"/>
  <c r="AB20" i="13"/>
  <c r="AB22" i="13"/>
  <c r="AB29" i="13"/>
  <c r="AB31" i="13"/>
  <c r="AB33" i="13"/>
  <c r="AA39" i="13"/>
  <c r="AB39" i="13" s="1"/>
  <c r="AB35" i="13"/>
  <c r="AB37" i="13"/>
  <c r="O40" i="13"/>
  <c r="O41" i="13" s="1"/>
  <c r="AA24" i="13"/>
  <c r="AB15" i="13"/>
  <c r="AB19" i="13"/>
  <c r="I39" i="13"/>
  <c r="I40" i="13" s="1"/>
  <c r="I41" i="13" s="1"/>
  <c r="M24" i="13"/>
  <c r="M40" i="13" s="1"/>
  <c r="Y24" i="13"/>
  <c r="Y40" i="13" s="1"/>
  <c r="D40" i="13"/>
  <c r="P40" i="13"/>
  <c r="AA40" i="13" l="1"/>
  <c r="AB24" i="13"/>
  <c r="AA41" i="13" l="1"/>
  <c r="AB41" i="13" s="1"/>
  <c r="AB40" i="13"/>
  <c r="Y54" i="12" l="1"/>
  <c r="S54" i="12"/>
  <c r="M54" i="12"/>
  <c r="G54" i="12"/>
  <c r="Y53" i="12"/>
  <c r="S53" i="12"/>
  <c r="M53" i="12"/>
  <c r="G53" i="12"/>
  <c r="Y52" i="12"/>
  <c r="S52" i="12"/>
  <c r="M52" i="12"/>
  <c r="G52" i="12"/>
  <c r="Y51" i="12"/>
  <c r="S51" i="12"/>
  <c r="M51" i="12"/>
  <c r="G51" i="12"/>
  <c r="Y50" i="12"/>
  <c r="S50" i="12"/>
  <c r="M50" i="12"/>
  <c r="G50" i="12"/>
  <c r="Q40" i="12"/>
  <c r="E40" i="12"/>
  <c r="Z39" i="12"/>
  <c r="X39" i="12"/>
  <c r="W39" i="12"/>
  <c r="V39" i="12"/>
  <c r="Y39" i="12" s="1"/>
  <c r="T39" i="12"/>
  <c r="R39" i="12"/>
  <c r="Q39" i="12"/>
  <c r="P39" i="12"/>
  <c r="S39" i="12" s="1"/>
  <c r="N39" i="12"/>
  <c r="L39" i="12"/>
  <c r="K39" i="12"/>
  <c r="J39" i="12"/>
  <c r="M39" i="12" s="1"/>
  <c r="H39" i="12"/>
  <c r="F39" i="12"/>
  <c r="E39" i="12"/>
  <c r="D39" i="12"/>
  <c r="G39" i="12" s="1"/>
  <c r="AA38" i="12"/>
  <c r="AB38" i="12" s="1"/>
  <c r="Y38" i="12"/>
  <c r="U38" i="12"/>
  <c r="S38" i="12"/>
  <c r="O38" i="12"/>
  <c r="M38" i="12"/>
  <c r="I38" i="12"/>
  <c r="G38" i="12"/>
  <c r="Y37" i="12"/>
  <c r="AA37" i="12" s="1"/>
  <c r="AB37" i="12" s="1"/>
  <c r="S37" i="12"/>
  <c r="U37" i="12" s="1"/>
  <c r="M37" i="12"/>
  <c r="O37" i="12" s="1"/>
  <c r="G37" i="12"/>
  <c r="I37" i="12" s="1"/>
  <c r="AA36" i="12"/>
  <c r="AB36" i="12" s="1"/>
  <c r="Y36" i="12"/>
  <c r="U36" i="12"/>
  <c r="S36" i="12"/>
  <c r="O36" i="12"/>
  <c r="M36" i="12"/>
  <c r="I36" i="12"/>
  <c r="G36" i="12"/>
  <c r="Y35" i="12"/>
  <c r="AA35" i="12" s="1"/>
  <c r="S35" i="12"/>
  <c r="U35" i="12" s="1"/>
  <c r="M35" i="12"/>
  <c r="O35" i="12" s="1"/>
  <c r="G35" i="12"/>
  <c r="I35" i="12" s="1"/>
  <c r="AA34" i="12"/>
  <c r="AB34" i="12" s="1"/>
  <c r="Y34" i="12"/>
  <c r="U34" i="12"/>
  <c r="S34" i="12"/>
  <c r="O34" i="12"/>
  <c r="M34" i="12"/>
  <c r="I34" i="12"/>
  <c r="G34" i="12"/>
  <c r="Y33" i="12"/>
  <c r="AA33" i="12" s="1"/>
  <c r="AB33" i="12" s="1"/>
  <c r="S33" i="12"/>
  <c r="U33" i="12" s="1"/>
  <c r="M33" i="12"/>
  <c r="O33" i="12" s="1"/>
  <c r="G33" i="12"/>
  <c r="I33" i="12" s="1"/>
  <c r="Y32" i="12"/>
  <c r="AA32" i="12" s="1"/>
  <c r="AB32" i="12" s="1"/>
  <c r="U32" i="12"/>
  <c r="S32" i="12"/>
  <c r="M32" i="12"/>
  <c r="O32" i="12" s="1"/>
  <c r="I32" i="12"/>
  <c r="G32" i="12"/>
  <c r="Y31" i="12"/>
  <c r="AA31" i="12" s="1"/>
  <c r="S31" i="12"/>
  <c r="U31" i="12" s="1"/>
  <c r="M31" i="12"/>
  <c r="O31" i="12" s="1"/>
  <c r="G31" i="12"/>
  <c r="I31" i="12" s="1"/>
  <c r="AA30" i="12"/>
  <c r="AB30" i="12" s="1"/>
  <c r="Y30" i="12"/>
  <c r="S30" i="12"/>
  <c r="U30" i="12" s="1"/>
  <c r="O30" i="12"/>
  <c r="M30" i="12"/>
  <c r="G30" i="12"/>
  <c r="I30" i="12" s="1"/>
  <c r="Y29" i="12"/>
  <c r="AA29" i="12" s="1"/>
  <c r="AB29" i="12" s="1"/>
  <c r="S29" i="12"/>
  <c r="U29" i="12" s="1"/>
  <c r="M29" i="12"/>
  <c r="O29" i="12" s="1"/>
  <c r="G29" i="12"/>
  <c r="I29" i="12" s="1"/>
  <c r="Y28" i="12"/>
  <c r="AA28" i="12" s="1"/>
  <c r="AB28" i="12" s="1"/>
  <c r="U28" i="12"/>
  <c r="S28" i="12"/>
  <c r="M28" i="12"/>
  <c r="O28" i="12" s="1"/>
  <c r="I28" i="12"/>
  <c r="G28" i="12"/>
  <c r="Z24" i="12"/>
  <c r="Z40" i="12" s="1"/>
  <c r="X24" i="12"/>
  <c r="X40" i="12" s="1"/>
  <c r="W24" i="12"/>
  <c r="W40" i="12" s="1"/>
  <c r="V24" i="12"/>
  <c r="Y24" i="12" s="1"/>
  <c r="Y40" i="12" s="1"/>
  <c r="T24" i="12"/>
  <c r="T40" i="12" s="1"/>
  <c r="R24" i="12"/>
  <c r="R40" i="12" s="1"/>
  <c r="Q24" i="12"/>
  <c r="P24" i="12"/>
  <c r="P40" i="12" s="1"/>
  <c r="N24" i="12"/>
  <c r="N40" i="12" s="1"/>
  <c r="L24" i="12"/>
  <c r="L40" i="12" s="1"/>
  <c r="K24" i="12"/>
  <c r="K40" i="12" s="1"/>
  <c r="J24" i="12"/>
  <c r="M24" i="12" s="1"/>
  <c r="M40" i="12" s="1"/>
  <c r="H24" i="12"/>
  <c r="H40" i="12" s="1"/>
  <c r="F24" i="12"/>
  <c r="F40" i="12" s="1"/>
  <c r="E24" i="12"/>
  <c r="D24" i="12"/>
  <c r="D40" i="12" s="1"/>
  <c r="AA23" i="12"/>
  <c r="AB23" i="12" s="1"/>
  <c r="Y23" i="12"/>
  <c r="S23" i="12"/>
  <c r="U23" i="12" s="1"/>
  <c r="O23" i="12"/>
  <c r="M23" i="12"/>
  <c r="G23" i="12"/>
  <c r="I23" i="12" s="1"/>
  <c r="Y22" i="12"/>
  <c r="AA22" i="12" s="1"/>
  <c r="AB22" i="12" s="1"/>
  <c r="S22" i="12"/>
  <c r="U22" i="12" s="1"/>
  <c r="M22" i="12"/>
  <c r="O22" i="12" s="1"/>
  <c r="G22" i="12"/>
  <c r="I22" i="12" s="1"/>
  <c r="Y21" i="12"/>
  <c r="AA21" i="12" s="1"/>
  <c r="AB21" i="12" s="1"/>
  <c r="U21" i="12"/>
  <c r="S21" i="12"/>
  <c r="M21" i="12"/>
  <c r="O21" i="12" s="1"/>
  <c r="I21" i="12"/>
  <c r="G21" i="12"/>
  <c r="Y20" i="12"/>
  <c r="AA20" i="12" s="1"/>
  <c r="S20" i="12"/>
  <c r="U20" i="12" s="1"/>
  <c r="M20" i="12"/>
  <c r="O20" i="12" s="1"/>
  <c r="I20" i="12"/>
  <c r="Y19" i="12"/>
  <c r="AA19" i="12" s="1"/>
  <c r="S19" i="12"/>
  <c r="U19" i="12" s="1"/>
  <c r="M19" i="12"/>
  <c r="O19" i="12" s="1"/>
  <c r="G19" i="12"/>
  <c r="I19" i="12" s="1"/>
  <c r="AA18" i="12"/>
  <c r="AB18" i="12" s="1"/>
  <c r="Y18" i="12"/>
  <c r="S18" i="12"/>
  <c r="U18" i="12" s="1"/>
  <c r="O18" i="12"/>
  <c r="M18" i="12"/>
  <c r="G18" i="12"/>
  <c r="I18" i="12" s="1"/>
  <c r="Y17" i="12"/>
  <c r="AA17" i="12" s="1"/>
  <c r="AB17" i="12" s="1"/>
  <c r="S17" i="12"/>
  <c r="U17" i="12" s="1"/>
  <c r="M17" i="12"/>
  <c r="O17" i="12" s="1"/>
  <c r="G17" i="12"/>
  <c r="I17" i="12" s="1"/>
  <c r="Y16" i="12"/>
  <c r="AA16" i="12" s="1"/>
  <c r="AB16" i="12" s="1"/>
  <c r="U16" i="12"/>
  <c r="S16" i="12"/>
  <c r="M16" i="12"/>
  <c r="O16" i="12" s="1"/>
  <c r="I16" i="12"/>
  <c r="G16" i="12"/>
  <c r="Y15" i="12"/>
  <c r="AA15" i="12" s="1"/>
  <c r="S15" i="12"/>
  <c r="U15" i="12" s="1"/>
  <c r="M15" i="12"/>
  <c r="O15" i="12" s="1"/>
  <c r="O24" i="12" s="1"/>
  <c r="G15" i="12"/>
  <c r="I15" i="12" s="1"/>
  <c r="I24" i="12" s="1"/>
  <c r="U24" i="12" l="1"/>
  <c r="U40" i="12" s="1"/>
  <c r="U41" i="12" s="1"/>
  <c r="I39" i="12"/>
  <c r="I40" i="12"/>
  <c r="I41" i="12" s="1"/>
  <c r="U39" i="12"/>
  <c r="AB35" i="12"/>
  <c r="AA39" i="12"/>
  <c r="AB39" i="12" s="1"/>
  <c r="AB15" i="12"/>
  <c r="AA24" i="12"/>
  <c r="AB19" i="12"/>
  <c r="AB20" i="12"/>
  <c r="AB31" i="12"/>
  <c r="O39" i="12"/>
  <c r="O40" i="12" s="1"/>
  <c r="O41" i="12" s="1"/>
  <c r="G24" i="12"/>
  <c r="G40" i="12" s="1"/>
  <c r="S24" i="12"/>
  <c r="S40" i="12" s="1"/>
  <c r="J40" i="12"/>
  <c r="V40" i="12"/>
  <c r="AA40" i="12" l="1"/>
  <c r="AA41" i="12" s="1"/>
  <c r="AB41" i="12" s="1"/>
  <c r="AB24" i="12"/>
  <c r="G15" i="11" l="1"/>
  <c r="I15" i="11" s="1"/>
  <c r="M15" i="11"/>
  <c r="O15" i="11"/>
  <c r="S15" i="11"/>
  <c r="U15" i="11" s="1"/>
  <c r="U24" i="11" s="1"/>
  <c r="Y15" i="11"/>
  <c r="AA15" i="11"/>
  <c r="AB15" i="11" s="1"/>
  <c r="G16" i="11"/>
  <c r="I16" i="11"/>
  <c r="M16" i="11"/>
  <c r="O16" i="11" s="1"/>
  <c r="S16" i="11"/>
  <c r="U16" i="11"/>
  <c r="Y16" i="11"/>
  <c r="AA16" i="11" s="1"/>
  <c r="G17" i="11"/>
  <c r="I17" i="11"/>
  <c r="M17" i="11"/>
  <c r="O17" i="11" s="1"/>
  <c r="S17" i="11"/>
  <c r="U17" i="11"/>
  <c r="Y17" i="11"/>
  <c r="AA17" i="11" s="1"/>
  <c r="G18" i="11"/>
  <c r="I18" i="11" s="1"/>
  <c r="M18" i="11"/>
  <c r="O18" i="11"/>
  <c r="S18" i="11"/>
  <c r="U18" i="11" s="1"/>
  <c r="Y18" i="11"/>
  <c r="AA18" i="11"/>
  <c r="AB18" i="11"/>
  <c r="G19" i="11"/>
  <c r="I19" i="11" s="1"/>
  <c r="M19" i="11"/>
  <c r="O19" i="11"/>
  <c r="S19" i="11"/>
  <c r="U19" i="11" s="1"/>
  <c r="Y19" i="11"/>
  <c r="AA19" i="11"/>
  <c r="AB19" i="11" s="1"/>
  <c r="I20" i="11"/>
  <c r="M20" i="11"/>
  <c r="O20" i="11"/>
  <c r="S20" i="11"/>
  <c r="U20" i="11" s="1"/>
  <c r="Y20" i="11"/>
  <c r="AA20" i="11"/>
  <c r="AB20" i="11" s="1"/>
  <c r="G21" i="11"/>
  <c r="I21" i="11"/>
  <c r="M21" i="11"/>
  <c r="O21" i="11" s="1"/>
  <c r="S21" i="11"/>
  <c r="U21" i="11"/>
  <c r="Y21" i="11"/>
  <c r="AA21" i="11" s="1"/>
  <c r="G22" i="11"/>
  <c r="I22" i="11"/>
  <c r="M22" i="11"/>
  <c r="O22" i="11" s="1"/>
  <c r="S22" i="11"/>
  <c r="U22" i="11"/>
  <c r="Y22" i="11"/>
  <c r="AA22" i="11" s="1"/>
  <c r="G23" i="11"/>
  <c r="I23" i="11" s="1"/>
  <c r="M23" i="11"/>
  <c r="O23" i="11"/>
  <c r="S23" i="11"/>
  <c r="U23" i="11" s="1"/>
  <c r="Y23" i="11"/>
  <c r="AA23" i="11"/>
  <c r="AB23" i="11"/>
  <c r="D24" i="11"/>
  <c r="E24" i="11"/>
  <c r="F24" i="11"/>
  <c r="G24" i="11"/>
  <c r="G40" i="11" s="1"/>
  <c r="H24" i="11"/>
  <c r="J24" i="11"/>
  <c r="M24" i="11" s="1"/>
  <c r="M40" i="11" s="1"/>
  <c r="K24" i="11"/>
  <c r="K40" i="11" s="1"/>
  <c r="L24" i="11"/>
  <c r="N24" i="11"/>
  <c r="P24" i="11"/>
  <c r="Q24" i="11"/>
  <c r="R24" i="11"/>
  <c r="S24" i="11"/>
  <c r="S40" i="11" s="1"/>
  <c r="T24" i="11"/>
  <c r="V24" i="11"/>
  <c r="Y24" i="11" s="1"/>
  <c r="Y40" i="11" s="1"/>
  <c r="W24" i="11"/>
  <c r="W40" i="11" s="1"/>
  <c r="X24" i="11"/>
  <c r="Z24" i="11"/>
  <c r="G28" i="11"/>
  <c r="I28" i="11"/>
  <c r="M28" i="11"/>
  <c r="O28" i="11" s="1"/>
  <c r="S28" i="11"/>
  <c r="U28" i="11"/>
  <c r="Y28" i="11"/>
  <c r="AA28" i="11" s="1"/>
  <c r="AB28" i="11" s="1"/>
  <c r="G29" i="11"/>
  <c r="I29" i="11"/>
  <c r="M29" i="11"/>
  <c r="O29" i="11" s="1"/>
  <c r="S29" i="11"/>
  <c r="U29" i="11"/>
  <c r="Y29" i="11"/>
  <c r="AA29" i="11" s="1"/>
  <c r="G30" i="11"/>
  <c r="I30" i="11" s="1"/>
  <c r="M30" i="11"/>
  <c r="O30" i="11"/>
  <c r="S30" i="11"/>
  <c r="U30" i="11" s="1"/>
  <c r="Y30" i="11"/>
  <c r="AA30" i="11"/>
  <c r="AB30" i="11"/>
  <c r="G31" i="11"/>
  <c r="I31" i="11" s="1"/>
  <c r="M31" i="11"/>
  <c r="O31" i="11"/>
  <c r="S31" i="11"/>
  <c r="U31" i="11" s="1"/>
  <c r="Y31" i="11"/>
  <c r="AA31" i="11"/>
  <c r="AB31" i="11" s="1"/>
  <c r="G32" i="11"/>
  <c r="I32" i="11"/>
  <c r="M32" i="11"/>
  <c r="O32" i="11" s="1"/>
  <c r="S32" i="11"/>
  <c r="U32" i="11"/>
  <c r="Y32" i="11"/>
  <c r="AA32" i="11" s="1"/>
  <c r="G33" i="11"/>
  <c r="I33" i="11"/>
  <c r="M33" i="11"/>
  <c r="O33" i="11" s="1"/>
  <c r="S33" i="11"/>
  <c r="U33" i="11"/>
  <c r="Y33" i="11"/>
  <c r="AA33" i="11" s="1"/>
  <c r="G34" i="11"/>
  <c r="I34" i="11" s="1"/>
  <c r="M34" i="11"/>
  <c r="O34" i="11"/>
  <c r="S34" i="11"/>
  <c r="U34" i="11" s="1"/>
  <c r="Y34" i="11"/>
  <c r="AA34" i="11"/>
  <c r="AB34" i="11"/>
  <c r="G35" i="11"/>
  <c r="I35" i="11" s="1"/>
  <c r="I39" i="11" s="1"/>
  <c r="M35" i="11"/>
  <c r="O35" i="11"/>
  <c r="S35" i="11"/>
  <c r="U35" i="11" s="1"/>
  <c r="Y35" i="11"/>
  <c r="AA35" i="11"/>
  <c r="AB35" i="11" s="1"/>
  <c r="G36" i="11"/>
  <c r="I36" i="11"/>
  <c r="M36" i="11"/>
  <c r="O36" i="11" s="1"/>
  <c r="O39" i="11" s="1"/>
  <c r="S36" i="11"/>
  <c r="U36" i="11"/>
  <c r="Y36" i="11"/>
  <c r="AA36" i="11" s="1"/>
  <c r="G37" i="11"/>
  <c r="I37" i="11"/>
  <c r="M37" i="11"/>
  <c r="O37" i="11" s="1"/>
  <c r="S37" i="11"/>
  <c r="U37" i="11"/>
  <c r="Y37" i="11"/>
  <c r="AA37" i="11" s="1"/>
  <c r="AB37" i="11" s="1"/>
  <c r="G38" i="11"/>
  <c r="I38" i="11" s="1"/>
  <c r="M38" i="11"/>
  <c r="O38" i="11"/>
  <c r="S38" i="11"/>
  <c r="U38" i="11" s="1"/>
  <c r="Y38" i="11"/>
  <c r="AA38" i="11"/>
  <c r="AB38" i="11"/>
  <c r="D39" i="11"/>
  <c r="E39" i="11"/>
  <c r="F39" i="11"/>
  <c r="G39" i="11"/>
  <c r="H39" i="11"/>
  <c r="J39" i="11"/>
  <c r="M39" i="11" s="1"/>
  <c r="K39" i="11"/>
  <c r="L39" i="11"/>
  <c r="N39" i="11"/>
  <c r="P39" i="11"/>
  <c r="Q39" i="11"/>
  <c r="R39" i="11"/>
  <c r="S39" i="11"/>
  <c r="T39" i="11"/>
  <c r="V39" i="11"/>
  <c r="Y39" i="11" s="1"/>
  <c r="W39" i="11"/>
  <c r="X39" i="11"/>
  <c r="Z39" i="11"/>
  <c r="D40" i="11"/>
  <c r="E40" i="11"/>
  <c r="F40" i="11"/>
  <c r="H40" i="11"/>
  <c r="J40" i="11"/>
  <c r="L40" i="11"/>
  <c r="N40" i="11"/>
  <c r="P40" i="11"/>
  <c r="Q40" i="11"/>
  <c r="R40" i="11"/>
  <c r="T40" i="11"/>
  <c r="V40" i="11"/>
  <c r="X40" i="11"/>
  <c r="Z40" i="11"/>
  <c r="D50" i="11"/>
  <c r="E50" i="11"/>
  <c r="F50" i="11"/>
  <c r="J50" i="11"/>
  <c r="K50" i="11"/>
  <c r="L50" i="11"/>
  <c r="M50" i="11"/>
  <c r="P50" i="11"/>
  <c r="Q50" i="11"/>
  <c r="R50" i="11"/>
  <c r="S50" i="11"/>
  <c r="V50" i="11"/>
  <c r="W50" i="11"/>
  <c r="X50" i="11"/>
  <c r="G51" i="11"/>
  <c r="G50" i="11" s="1"/>
  <c r="M51" i="11"/>
  <c r="S51" i="11"/>
  <c r="Y51" i="11"/>
  <c r="Y50" i="11" s="1"/>
  <c r="G52" i="11"/>
  <c r="M52" i="11"/>
  <c r="S52" i="11"/>
  <c r="Y52" i="11"/>
  <c r="G53" i="11"/>
  <c r="M53" i="11"/>
  <c r="S53" i="11"/>
  <c r="Y53" i="11"/>
  <c r="G54" i="11"/>
  <c r="M54" i="11"/>
  <c r="S54" i="11"/>
  <c r="Y54" i="11"/>
  <c r="AB16" i="11" l="1"/>
  <c r="AA24" i="11"/>
  <c r="AB33" i="11"/>
  <c r="AB21" i="11"/>
  <c r="AB36" i="11"/>
  <c r="AA39" i="11"/>
  <c r="AB39" i="11" s="1"/>
  <c r="U39" i="11"/>
  <c r="U40" i="11" s="1"/>
  <c r="U41" i="11" s="1"/>
  <c r="AB29" i="11"/>
  <c r="AB17" i="11"/>
  <c r="AB32" i="11"/>
  <c r="AB22" i="11"/>
  <c r="O24" i="11"/>
  <c r="O40" i="11" s="1"/>
  <c r="O41" i="11" s="1"/>
  <c r="I24" i="11"/>
  <c r="I40" i="11" s="1"/>
  <c r="I41" i="11" s="1"/>
  <c r="Y54" i="10"/>
  <c r="G54" i="10"/>
  <c r="F54" i="10"/>
  <c r="Y53" i="10"/>
  <c r="G53" i="10"/>
  <c r="Y52" i="10"/>
  <c r="G52" i="10"/>
  <c r="Y51" i="10"/>
  <c r="Y50" i="10" s="1"/>
  <c r="E51" i="10"/>
  <c r="G51" i="10" s="1"/>
  <c r="G50" i="10" s="1"/>
  <c r="S50" i="10"/>
  <c r="M50" i="10"/>
  <c r="R40" i="10"/>
  <c r="N40" i="10"/>
  <c r="J40" i="10"/>
  <c r="X39" i="10"/>
  <c r="W39" i="10"/>
  <c r="W40" i="10" s="1"/>
  <c r="T39" i="10"/>
  <c r="S39" i="10"/>
  <c r="R39" i="10"/>
  <c r="Q39" i="10"/>
  <c r="P39" i="10"/>
  <c r="O39" i="10"/>
  <c r="O40" i="10" s="1"/>
  <c r="O41" i="10" s="1"/>
  <c r="N39" i="10"/>
  <c r="L39" i="10"/>
  <c r="K39" i="10"/>
  <c r="K40" i="10" s="1"/>
  <c r="J39" i="10"/>
  <c r="H39" i="10"/>
  <c r="E39" i="10"/>
  <c r="Y38" i="10"/>
  <c r="AA38" i="10" s="1"/>
  <c r="AB38" i="10" s="1"/>
  <c r="U38" i="10"/>
  <c r="H38" i="10"/>
  <c r="F38" i="10"/>
  <c r="D38" i="10"/>
  <c r="G38" i="10" s="1"/>
  <c r="I38" i="10" s="1"/>
  <c r="Y37" i="10"/>
  <c r="AA37" i="10" s="1"/>
  <c r="AB37" i="10" s="1"/>
  <c r="U37" i="10"/>
  <c r="D37" i="10"/>
  <c r="D39" i="10" s="1"/>
  <c r="Y36" i="10"/>
  <c r="AA36" i="10" s="1"/>
  <c r="AB36" i="10" s="1"/>
  <c r="U36" i="10"/>
  <c r="I36" i="10"/>
  <c r="Y35" i="10"/>
  <c r="AA35" i="10" s="1"/>
  <c r="U35" i="10"/>
  <c r="U39" i="10" s="1"/>
  <c r="F35" i="10"/>
  <c r="F39" i="10" s="1"/>
  <c r="Y34" i="10"/>
  <c r="AA34" i="10" s="1"/>
  <c r="AB34" i="10" s="1"/>
  <c r="U34" i="10"/>
  <c r="I34" i="10"/>
  <c r="G34" i="10"/>
  <c r="AA33" i="10"/>
  <c r="AB33" i="10" s="1"/>
  <c r="U33" i="10"/>
  <c r="F33" i="10"/>
  <c r="E33" i="10"/>
  <c r="G33" i="10" s="1"/>
  <c r="I33" i="10" s="1"/>
  <c r="Z32" i="10"/>
  <c r="Z39" i="10" s="1"/>
  <c r="Z40" i="10" s="1"/>
  <c r="Y32" i="10"/>
  <c r="AA32" i="10" s="1"/>
  <c r="AB32" i="10" s="1"/>
  <c r="X32" i="10"/>
  <c r="W32" i="10"/>
  <c r="V32" i="10"/>
  <c r="V39" i="10" s="1"/>
  <c r="V40" i="10" s="1"/>
  <c r="U32" i="10"/>
  <c r="F32" i="10"/>
  <c r="G32" i="10" s="1"/>
  <c r="I32" i="10" s="1"/>
  <c r="Y31" i="10"/>
  <c r="AA31" i="10" s="1"/>
  <c r="AB31" i="10" s="1"/>
  <c r="U31" i="10"/>
  <c r="F31" i="10"/>
  <c r="G31" i="10" s="1"/>
  <c r="I31" i="10" s="1"/>
  <c r="AA30" i="10"/>
  <c r="AB30" i="10" s="1"/>
  <c r="Y30" i="10"/>
  <c r="U30" i="10"/>
  <c r="G30" i="10"/>
  <c r="I30" i="10" s="1"/>
  <c r="F30" i="10"/>
  <c r="Y29" i="10"/>
  <c r="AA29" i="10" s="1"/>
  <c r="AB29" i="10" s="1"/>
  <c r="U29" i="10"/>
  <c r="F29" i="10"/>
  <c r="G29" i="10" s="1"/>
  <c r="I29" i="10" s="1"/>
  <c r="Y28" i="10"/>
  <c r="Y39" i="10" s="1"/>
  <c r="U28" i="10"/>
  <c r="F28" i="10"/>
  <c r="G28" i="10" s="1"/>
  <c r="I28" i="10" s="1"/>
  <c r="Z24" i="10"/>
  <c r="X24" i="10"/>
  <c r="Y24" i="10" s="1"/>
  <c r="Y40" i="10" s="1"/>
  <c r="W24" i="10"/>
  <c r="V24" i="10"/>
  <c r="U24" i="10"/>
  <c r="T24" i="10"/>
  <c r="T40" i="10" s="1"/>
  <c r="R24" i="10"/>
  <c r="Q24" i="10"/>
  <c r="Q40" i="10" s="1"/>
  <c r="P24" i="10"/>
  <c r="S24" i="10" s="1"/>
  <c r="S40" i="10" s="1"/>
  <c r="O24" i="10"/>
  <c r="N24" i="10"/>
  <c r="L24" i="10"/>
  <c r="L40" i="10" s="1"/>
  <c r="K24" i="10"/>
  <c r="J24" i="10"/>
  <c r="H24" i="10"/>
  <c r="H40" i="10" s="1"/>
  <c r="E24" i="10"/>
  <c r="E40" i="10" s="1"/>
  <c r="D24" i="10"/>
  <c r="AB23" i="10"/>
  <c r="Y23" i="10"/>
  <c r="G23" i="10"/>
  <c r="I23" i="10" s="1"/>
  <c r="AB22" i="10"/>
  <c r="Y22" i="10"/>
  <c r="G22" i="10"/>
  <c r="I22" i="10" s="1"/>
  <c r="Y21" i="10"/>
  <c r="AA21" i="10" s="1"/>
  <c r="AB21" i="10" s="1"/>
  <c r="H21" i="10"/>
  <c r="F21" i="10"/>
  <c r="G21" i="10" s="1"/>
  <c r="I21" i="10" s="1"/>
  <c r="Y20" i="10"/>
  <c r="AA20" i="10" s="1"/>
  <c r="AB20" i="10" s="1"/>
  <c r="I20" i="10"/>
  <c r="Y19" i="10"/>
  <c r="AA19" i="10" s="1"/>
  <c r="AB19" i="10" s="1"/>
  <c r="G19" i="10"/>
  <c r="I19" i="10" s="1"/>
  <c r="Y18" i="10"/>
  <c r="AA18" i="10" s="1"/>
  <c r="AB18" i="10" s="1"/>
  <c r="E18" i="10"/>
  <c r="G18" i="10" s="1"/>
  <c r="I18" i="10" s="1"/>
  <c r="AA17" i="10"/>
  <c r="AB17" i="10" s="1"/>
  <c r="Y17" i="10"/>
  <c r="G17" i="10"/>
  <c r="I17" i="10" s="1"/>
  <c r="Y16" i="10"/>
  <c r="AA16" i="10" s="1"/>
  <c r="AB16" i="10" s="1"/>
  <c r="G16" i="10"/>
  <c r="I16" i="10" s="1"/>
  <c r="Y15" i="10"/>
  <c r="AA15" i="10" s="1"/>
  <c r="F15" i="10"/>
  <c r="G15" i="10" s="1"/>
  <c r="I15" i="10" s="1"/>
  <c r="I24" i="10" s="1"/>
  <c r="AB24" i="11" l="1"/>
  <c r="AA40" i="11"/>
  <c r="AA24" i="10"/>
  <c r="AB15" i="10"/>
  <c r="U40" i="10"/>
  <c r="U41" i="10" s="1"/>
  <c r="AA39" i="10"/>
  <c r="AB39" i="10" s="1"/>
  <c r="AB35" i="10"/>
  <c r="G39" i="10"/>
  <c r="M24" i="10"/>
  <c r="F24" i="10"/>
  <c r="F40" i="10" s="1"/>
  <c r="AA28" i="10"/>
  <c r="AB28" i="10" s="1"/>
  <c r="G35" i="10"/>
  <c r="I35" i="10" s="1"/>
  <c r="G37" i="10"/>
  <c r="I37" i="10" s="1"/>
  <c r="M39" i="10"/>
  <c r="D40" i="10"/>
  <c r="P40" i="10"/>
  <c r="X40" i="10"/>
  <c r="AB40" i="11" l="1"/>
  <c r="AA41" i="11"/>
  <c r="AB41" i="11" s="1"/>
  <c r="AA40" i="10"/>
  <c r="AB24" i="10"/>
  <c r="M40" i="10"/>
  <c r="I39" i="10"/>
  <c r="I40" i="10" s="1"/>
  <c r="I41" i="10" s="1"/>
  <c r="G24" i="10"/>
  <c r="G40" i="10" s="1"/>
  <c r="AA41" i="10" l="1"/>
  <c r="AB41" i="10" s="1"/>
  <c r="AB40" i="10"/>
  <c r="P57" i="9" l="1"/>
  <c r="J57" i="9"/>
  <c r="R54" i="9"/>
  <c r="Q54" i="9"/>
  <c r="S54" i="9" s="1"/>
  <c r="M54" i="9"/>
  <c r="L54" i="9"/>
  <c r="K54" i="9"/>
  <c r="J54" i="9"/>
  <c r="J50" i="9" s="1"/>
  <c r="G54" i="9"/>
  <c r="R53" i="9"/>
  <c r="S53" i="9" s="1"/>
  <c r="Q53" i="9"/>
  <c r="M53" i="9"/>
  <c r="V53" i="9" s="1"/>
  <c r="Y53" i="9" s="1"/>
  <c r="L53" i="9"/>
  <c r="K53" i="9"/>
  <c r="J53" i="9"/>
  <c r="G53" i="9"/>
  <c r="P53" i="9" s="1"/>
  <c r="Y52" i="9"/>
  <c r="X52" i="9"/>
  <c r="W52" i="9"/>
  <c r="R52" i="9"/>
  <c r="S52" i="9" s="1"/>
  <c r="Q52" i="9"/>
  <c r="M52" i="9"/>
  <c r="L52" i="9"/>
  <c r="K52" i="9"/>
  <c r="J52" i="9"/>
  <c r="G52" i="9"/>
  <c r="P52" i="9" s="1"/>
  <c r="R51" i="9"/>
  <c r="R50" i="9" s="1"/>
  <c r="Q51" i="9"/>
  <c r="Q50" i="9" s="1"/>
  <c r="M51" i="9"/>
  <c r="L51" i="9"/>
  <c r="K51" i="9"/>
  <c r="K50" i="9" s="1"/>
  <c r="M50" i="9" s="1"/>
  <c r="J51" i="9"/>
  <c r="G51" i="9"/>
  <c r="P51" i="9" s="1"/>
  <c r="X50" i="9"/>
  <c r="L50" i="9"/>
  <c r="G50" i="9"/>
  <c r="F50" i="9"/>
  <c r="E50" i="9"/>
  <c r="D50" i="9"/>
  <c r="T38" i="9"/>
  <c r="R38" i="9"/>
  <c r="Q38" i="9"/>
  <c r="P38" i="9"/>
  <c r="S38" i="9" s="1"/>
  <c r="U38" i="9" s="1"/>
  <c r="N38" i="9"/>
  <c r="Z38" i="9" s="1"/>
  <c r="L38" i="9"/>
  <c r="X38" i="9" s="1"/>
  <c r="K38" i="9"/>
  <c r="W38" i="9" s="1"/>
  <c r="J38" i="9"/>
  <c r="M38" i="9" s="1"/>
  <c r="O38" i="9" s="1"/>
  <c r="H38" i="9"/>
  <c r="F38" i="9"/>
  <c r="E38" i="9"/>
  <c r="D38" i="9"/>
  <c r="W37" i="9"/>
  <c r="T37" i="9"/>
  <c r="R37" i="9"/>
  <c r="S37" i="9" s="1"/>
  <c r="U37" i="9" s="1"/>
  <c r="Q37" i="9"/>
  <c r="P37" i="9"/>
  <c r="N37" i="9"/>
  <c r="Z37" i="9" s="1"/>
  <c r="L37" i="9"/>
  <c r="X37" i="9" s="1"/>
  <c r="K37" i="9"/>
  <c r="J37" i="9"/>
  <c r="M37" i="9" s="1"/>
  <c r="O37" i="9" s="1"/>
  <c r="H37" i="9"/>
  <c r="G37" i="9"/>
  <c r="I37" i="9" s="1"/>
  <c r="F37" i="9"/>
  <c r="E37" i="9"/>
  <c r="D37" i="9"/>
  <c r="W36" i="9"/>
  <c r="T36" i="9"/>
  <c r="R36" i="9"/>
  <c r="Q36" i="9"/>
  <c r="P36" i="9"/>
  <c r="S36" i="9" s="1"/>
  <c r="U36" i="9" s="1"/>
  <c r="N36" i="9"/>
  <c r="Z36" i="9" s="1"/>
  <c r="L36" i="9"/>
  <c r="X36" i="9" s="1"/>
  <c r="K36" i="9"/>
  <c r="J36" i="9"/>
  <c r="V36" i="9" s="1"/>
  <c r="H36" i="9"/>
  <c r="G36" i="9"/>
  <c r="I36" i="9" s="1"/>
  <c r="F36" i="9"/>
  <c r="E36" i="9"/>
  <c r="D36" i="9"/>
  <c r="D39" i="9" s="1"/>
  <c r="T35" i="9"/>
  <c r="R35" i="9"/>
  <c r="Q35" i="9"/>
  <c r="P35" i="9"/>
  <c r="S35" i="9" s="1"/>
  <c r="U35" i="9" s="1"/>
  <c r="N35" i="9"/>
  <c r="Z35" i="9" s="1"/>
  <c r="M35" i="9"/>
  <c r="O35" i="9" s="1"/>
  <c r="L35" i="9"/>
  <c r="X35" i="9" s="1"/>
  <c r="K35" i="9"/>
  <c r="J35" i="9"/>
  <c r="H35" i="9"/>
  <c r="F35" i="9"/>
  <c r="E35" i="9"/>
  <c r="E39" i="9" s="1"/>
  <c r="D35" i="9"/>
  <c r="V34" i="9"/>
  <c r="Y34" i="9" s="1"/>
  <c r="T34" i="9"/>
  <c r="R34" i="9"/>
  <c r="Q34" i="9"/>
  <c r="P34" i="9"/>
  <c r="N34" i="9"/>
  <c r="Z34" i="9" s="1"/>
  <c r="M34" i="9"/>
  <c r="O34" i="9" s="1"/>
  <c r="L34" i="9"/>
  <c r="X34" i="9" s="1"/>
  <c r="K34" i="9"/>
  <c r="W34" i="9" s="1"/>
  <c r="J34" i="9"/>
  <c r="H34" i="9"/>
  <c r="F34" i="9"/>
  <c r="E34" i="9"/>
  <c r="D34" i="9"/>
  <c r="G34" i="9" s="1"/>
  <c r="I34" i="9" s="1"/>
  <c r="Z33" i="9"/>
  <c r="V33" i="9"/>
  <c r="T33" i="9"/>
  <c r="S33" i="9"/>
  <c r="U33" i="9" s="1"/>
  <c r="R33" i="9"/>
  <c r="Q33" i="9"/>
  <c r="P33" i="9"/>
  <c r="N33" i="9"/>
  <c r="L33" i="9"/>
  <c r="X33" i="9" s="1"/>
  <c r="K33" i="9"/>
  <c r="W33" i="9" s="1"/>
  <c r="J33" i="9"/>
  <c r="H33" i="9"/>
  <c r="F33" i="9"/>
  <c r="G33" i="9" s="1"/>
  <c r="I33" i="9" s="1"/>
  <c r="E33" i="9"/>
  <c r="D33" i="9"/>
  <c r="X32" i="9"/>
  <c r="T32" i="9"/>
  <c r="T39" i="9" s="1"/>
  <c r="S32" i="9"/>
  <c r="U32" i="9" s="1"/>
  <c r="R32" i="9"/>
  <c r="Q32" i="9"/>
  <c r="P32" i="9"/>
  <c r="N32" i="9"/>
  <c r="Z32" i="9" s="1"/>
  <c r="L32" i="9"/>
  <c r="K32" i="9"/>
  <c r="W32" i="9" s="1"/>
  <c r="J32" i="9"/>
  <c r="V32" i="9" s="1"/>
  <c r="H32" i="9"/>
  <c r="F32" i="9"/>
  <c r="E32" i="9"/>
  <c r="D32" i="9"/>
  <c r="G32" i="9" s="1"/>
  <c r="I32" i="9" s="1"/>
  <c r="T31" i="9"/>
  <c r="R31" i="9"/>
  <c r="Q31" i="9"/>
  <c r="Q39" i="9" s="1"/>
  <c r="P31" i="9"/>
  <c r="N31" i="9"/>
  <c r="Z31" i="9" s="1"/>
  <c r="L31" i="9"/>
  <c r="M31" i="9" s="1"/>
  <c r="O31" i="9" s="1"/>
  <c r="K31" i="9"/>
  <c r="W31" i="9" s="1"/>
  <c r="J31" i="9"/>
  <c r="V31" i="9" s="1"/>
  <c r="H31" i="9"/>
  <c r="F31" i="9"/>
  <c r="E31" i="9"/>
  <c r="D31" i="9"/>
  <c r="G31" i="9" s="1"/>
  <c r="I31" i="9" s="1"/>
  <c r="T30" i="9"/>
  <c r="R30" i="9"/>
  <c r="Q30" i="9"/>
  <c r="P30" i="9"/>
  <c r="N30" i="9"/>
  <c r="Z30" i="9" s="1"/>
  <c r="L30" i="9"/>
  <c r="X30" i="9" s="1"/>
  <c r="K30" i="9"/>
  <c r="W30" i="9" s="1"/>
  <c r="J30" i="9"/>
  <c r="M30" i="9" s="1"/>
  <c r="O30" i="9" s="1"/>
  <c r="H30" i="9"/>
  <c r="F30" i="9"/>
  <c r="E30" i="9"/>
  <c r="D30" i="9"/>
  <c r="W29" i="9"/>
  <c r="T29" i="9"/>
  <c r="R29" i="9"/>
  <c r="S29" i="9" s="1"/>
  <c r="U29" i="9" s="1"/>
  <c r="Q29" i="9"/>
  <c r="P29" i="9"/>
  <c r="N29" i="9"/>
  <c r="Z29" i="9" s="1"/>
  <c r="L29" i="9"/>
  <c r="X29" i="9" s="1"/>
  <c r="K29" i="9"/>
  <c r="J29" i="9"/>
  <c r="M29" i="9" s="1"/>
  <c r="O29" i="9" s="1"/>
  <c r="H29" i="9"/>
  <c r="G29" i="9"/>
  <c r="I29" i="9" s="1"/>
  <c r="F29" i="9"/>
  <c r="E29" i="9"/>
  <c r="D29" i="9"/>
  <c r="W28" i="9"/>
  <c r="T28" i="9"/>
  <c r="R28" i="9"/>
  <c r="Q28" i="9"/>
  <c r="P28" i="9"/>
  <c r="S28" i="9" s="1"/>
  <c r="U28" i="9" s="1"/>
  <c r="N28" i="9"/>
  <c r="Z28" i="9" s="1"/>
  <c r="L28" i="9"/>
  <c r="X28" i="9" s="1"/>
  <c r="K28" i="9"/>
  <c r="J28" i="9"/>
  <c r="V28" i="9" s="1"/>
  <c r="H28" i="9"/>
  <c r="H39" i="9" s="1"/>
  <c r="G28" i="9"/>
  <c r="I28" i="9" s="1"/>
  <c r="F28" i="9"/>
  <c r="E28" i="9"/>
  <c r="D28" i="9"/>
  <c r="V23" i="9"/>
  <c r="Y23" i="9" s="1"/>
  <c r="AA23" i="9" s="1"/>
  <c r="T23" i="9"/>
  <c r="R23" i="9"/>
  <c r="Q23" i="9"/>
  <c r="P23" i="9"/>
  <c r="S23" i="9" s="1"/>
  <c r="U23" i="9" s="1"/>
  <c r="N23" i="9"/>
  <c r="Z23" i="9" s="1"/>
  <c r="L23" i="9"/>
  <c r="X23" i="9" s="1"/>
  <c r="K23" i="9"/>
  <c r="W23" i="9" s="1"/>
  <c r="J23" i="9"/>
  <c r="M23" i="9" s="1"/>
  <c r="O23" i="9" s="1"/>
  <c r="H23" i="9"/>
  <c r="F23" i="9"/>
  <c r="E23" i="9"/>
  <c r="D23" i="9"/>
  <c r="Z22" i="9"/>
  <c r="T22" i="9"/>
  <c r="S22" i="9"/>
  <c r="U22" i="9" s="1"/>
  <c r="R22" i="9"/>
  <c r="Q22" i="9"/>
  <c r="P22" i="9"/>
  <c r="N22" i="9"/>
  <c r="L22" i="9"/>
  <c r="X22" i="9" s="1"/>
  <c r="K22" i="9"/>
  <c r="W22" i="9" s="1"/>
  <c r="J22" i="9"/>
  <c r="M22" i="9" s="1"/>
  <c r="O22" i="9" s="1"/>
  <c r="H22" i="9"/>
  <c r="F22" i="9"/>
  <c r="G22" i="9" s="1"/>
  <c r="I22" i="9" s="1"/>
  <c r="E22" i="9"/>
  <c r="D22" i="9"/>
  <c r="X21" i="9"/>
  <c r="W21" i="9"/>
  <c r="T21" i="9"/>
  <c r="S21" i="9"/>
  <c r="U21" i="9" s="1"/>
  <c r="R21" i="9"/>
  <c r="Q21" i="9"/>
  <c r="P21" i="9"/>
  <c r="N21" i="9"/>
  <c r="Z21" i="9" s="1"/>
  <c r="L21" i="9"/>
  <c r="K21" i="9"/>
  <c r="J21" i="9"/>
  <c r="V21" i="9" s="1"/>
  <c r="H21" i="9"/>
  <c r="F21" i="9"/>
  <c r="E21" i="9"/>
  <c r="D21" i="9"/>
  <c r="G21" i="9" s="1"/>
  <c r="I21" i="9" s="1"/>
  <c r="T20" i="9"/>
  <c r="R20" i="9"/>
  <c r="Q20" i="9"/>
  <c r="P20" i="9"/>
  <c r="S20" i="9" s="1"/>
  <c r="U20" i="9" s="1"/>
  <c r="N20" i="9"/>
  <c r="Z20" i="9" s="1"/>
  <c r="L20" i="9"/>
  <c r="M20" i="9" s="1"/>
  <c r="O20" i="9" s="1"/>
  <c r="K20" i="9"/>
  <c r="W20" i="9" s="1"/>
  <c r="J20" i="9"/>
  <c r="V20" i="9" s="1"/>
  <c r="H20" i="9"/>
  <c r="F20" i="9"/>
  <c r="E20" i="9"/>
  <c r="D20" i="9"/>
  <c r="T19" i="9"/>
  <c r="R19" i="9"/>
  <c r="Q19" i="9"/>
  <c r="P19" i="9"/>
  <c r="N19" i="9"/>
  <c r="Z19" i="9" s="1"/>
  <c r="M19" i="9"/>
  <c r="O19" i="9" s="1"/>
  <c r="L19" i="9"/>
  <c r="X19" i="9" s="1"/>
  <c r="K19" i="9"/>
  <c r="W19" i="9" s="1"/>
  <c r="J19" i="9"/>
  <c r="V19" i="9" s="1"/>
  <c r="Y19" i="9" s="1"/>
  <c r="AA19" i="9" s="1"/>
  <c r="AB19" i="9" s="1"/>
  <c r="I19" i="9"/>
  <c r="H19" i="9"/>
  <c r="F19" i="9"/>
  <c r="E19" i="9"/>
  <c r="G19" i="9" s="1"/>
  <c r="D19" i="9"/>
  <c r="W18" i="9"/>
  <c r="V18" i="9"/>
  <c r="T18" i="9"/>
  <c r="R18" i="9"/>
  <c r="S18" i="9" s="1"/>
  <c r="U18" i="9" s="1"/>
  <c r="Q18" i="9"/>
  <c r="P18" i="9"/>
  <c r="N18" i="9"/>
  <c r="Z18" i="9" s="1"/>
  <c r="L18" i="9"/>
  <c r="X18" i="9" s="1"/>
  <c r="K18" i="9"/>
  <c r="J18" i="9"/>
  <c r="H18" i="9"/>
  <c r="G18" i="9"/>
  <c r="I18" i="9" s="1"/>
  <c r="F18" i="9"/>
  <c r="E18" i="9"/>
  <c r="D18" i="9"/>
  <c r="W17" i="9"/>
  <c r="T17" i="9"/>
  <c r="T24" i="9" s="1"/>
  <c r="T40" i="9" s="1"/>
  <c r="R17" i="9"/>
  <c r="Q17" i="9"/>
  <c r="P17" i="9"/>
  <c r="S17" i="9" s="1"/>
  <c r="U17" i="9" s="1"/>
  <c r="N17" i="9"/>
  <c r="Z17" i="9" s="1"/>
  <c r="L17" i="9"/>
  <c r="M17" i="9" s="1"/>
  <c r="O17" i="9" s="1"/>
  <c r="K17" i="9"/>
  <c r="J17" i="9"/>
  <c r="V17" i="9" s="1"/>
  <c r="H17" i="9"/>
  <c r="F17" i="9"/>
  <c r="E17" i="9"/>
  <c r="E24" i="9" s="1"/>
  <c r="E40" i="9" s="1"/>
  <c r="D17" i="9"/>
  <c r="G17" i="9" s="1"/>
  <c r="I17" i="9" s="1"/>
  <c r="X16" i="9"/>
  <c r="T16" i="9"/>
  <c r="R16" i="9"/>
  <c r="Q16" i="9"/>
  <c r="P16" i="9"/>
  <c r="N16" i="9"/>
  <c r="Z16" i="9" s="1"/>
  <c r="L16" i="9"/>
  <c r="K16" i="9"/>
  <c r="W16" i="9" s="1"/>
  <c r="J16" i="9"/>
  <c r="V16" i="9" s="1"/>
  <c r="Y16" i="9" s="1"/>
  <c r="AA16" i="9" s="1"/>
  <c r="H16" i="9"/>
  <c r="F16" i="9"/>
  <c r="G16" i="9" s="1"/>
  <c r="I16" i="9" s="1"/>
  <c r="E16" i="9"/>
  <c r="D16" i="9"/>
  <c r="T15" i="9"/>
  <c r="S15" i="9"/>
  <c r="U15" i="9" s="1"/>
  <c r="R15" i="9"/>
  <c r="Q15" i="9"/>
  <c r="Q24" i="9" s="1"/>
  <c r="Q40" i="9" s="1"/>
  <c r="P15" i="9"/>
  <c r="P24" i="9" s="1"/>
  <c r="N15" i="9"/>
  <c r="L15" i="9"/>
  <c r="X15" i="9" s="1"/>
  <c r="K15" i="9"/>
  <c r="K24" i="9" s="1"/>
  <c r="J15" i="9"/>
  <c r="M15" i="9" s="1"/>
  <c r="O15" i="9" s="1"/>
  <c r="H15" i="9"/>
  <c r="H24" i="9" s="1"/>
  <c r="H40" i="9" s="1"/>
  <c r="G15" i="9"/>
  <c r="I15" i="9" s="1"/>
  <c r="F15" i="9"/>
  <c r="E15" i="9"/>
  <c r="D15" i="9"/>
  <c r="AB23" i="9" l="1"/>
  <c r="P40" i="9"/>
  <c r="AA34" i="9"/>
  <c r="AB34" i="9" s="1"/>
  <c r="W15" i="9"/>
  <c r="W24" i="9" s="1"/>
  <c r="Y18" i="9"/>
  <c r="AA18" i="9" s="1"/>
  <c r="AB18" i="9" s="1"/>
  <c r="D24" i="9"/>
  <c r="L24" i="9"/>
  <c r="L40" i="9" s="1"/>
  <c r="X31" i="9"/>
  <c r="Y31" i="9" s="1"/>
  <c r="AA31" i="9" s="1"/>
  <c r="AB31" i="9" s="1"/>
  <c r="Y32" i="9"/>
  <c r="AA32" i="9" s="1"/>
  <c r="J39" i="9"/>
  <c r="X20" i="9"/>
  <c r="Y20" i="9" s="1"/>
  <c r="AA20" i="9" s="1"/>
  <c r="AB20" i="9" s="1"/>
  <c r="Y33" i="9"/>
  <c r="AA33" i="9" s="1"/>
  <c r="K39" i="9"/>
  <c r="K40" i="9" s="1"/>
  <c r="L39" i="9"/>
  <c r="S16" i="9"/>
  <c r="U16" i="9" s="1"/>
  <c r="U24" i="9" s="1"/>
  <c r="U40" i="9" s="1"/>
  <c r="U41" i="9" s="1"/>
  <c r="X17" i="9"/>
  <c r="X24" i="9" s="1"/>
  <c r="M18" i="9"/>
  <c r="O18" i="9" s="1"/>
  <c r="G20" i="9"/>
  <c r="I20" i="9" s="1"/>
  <c r="I24" i="9" s="1"/>
  <c r="V22" i="9"/>
  <c r="Y22" i="9" s="1"/>
  <c r="AA22" i="9" s="1"/>
  <c r="AB22" i="9" s="1"/>
  <c r="Y28" i="9"/>
  <c r="AA28" i="9" s="1"/>
  <c r="AB28" i="9" s="1"/>
  <c r="S30" i="9"/>
  <c r="U30" i="9" s="1"/>
  <c r="U39" i="9" s="1"/>
  <c r="V30" i="9"/>
  <c r="Y30" i="9" s="1"/>
  <c r="AA30" i="9" s="1"/>
  <c r="AB30" i="9" s="1"/>
  <c r="Y36" i="9"/>
  <c r="AA36" i="9" s="1"/>
  <c r="AB36" i="9" s="1"/>
  <c r="V38" i="9"/>
  <c r="Y38" i="9" s="1"/>
  <c r="AA38" i="9" s="1"/>
  <c r="AB38" i="9" s="1"/>
  <c r="Y21" i="9"/>
  <c r="AA21" i="9" s="1"/>
  <c r="Z39" i="9"/>
  <c r="F39" i="9"/>
  <c r="G39" i="9" s="1"/>
  <c r="F24" i="9"/>
  <c r="F40" i="9" s="1"/>
  <c r="J24" i="9"/>
  <c r="N24" i="9"/>
  <c r="R24" i="9"/>
  <c r="S24" i="9" s="1"/>
  <c r="V15" i="9"/>
  <c r="Z15" i="9"/>
  <c r="Z24" i="9" s="1"/>
  <c r="Z40" i="9" s="1"/>
  <c r="M16" i="9"/>
  <c r="O16" i="9" s="1"/>
  <c r="O24" i="9" s="1"/>
  <c r="S19" i="9"/>
  <c r="U19" i="9" s="1"/>
  <c r="G23" i="9"/>
  <c r="I23" i="9" s="1"/>
  <c r="V29" i="9"/>
  <c r="Y29" i="9" s="1"/>
  <c r="AA29" i="9" s="1"/>
  <c r="AB29" i="9" s="1"/>
  <c r="G30" i="9"/>
  <c r="I30" i="9" s="1"/>
  <c r="S31" i="9"/>
  <c r="U31" i="9" s="1"/>
  <c r="M33" i="9"/>
  <c r="O33" i="9" s="1"/>
  <c r="S34" i="9"/>
  <c r="U34" i="9" s="1"/>
  <c r="G35" i="9"/>
  <c r="I35" i="9" s="1"/>
  <c r="R39" i="9"/>
  <c r="V37" i="9"/>
  <c r="Y37" i="9" s="1"/>
  <c r="AA37" i="9" s="1"/>
  <c r="AB37" i="9" s="1"/>
  <c r="G38" i="9"/>
  <c r="I38" i="9" s="1"/>
  <c r="P39" i="9"/>
  <c r="S51" i="9"/>
  <c r="V51" i="9" s="1"/>
  <c r="P50" i="9"/>
  <c r="S50" i="9" s="1"/>
  <c r="M21" i="9"/>
  <c r="O21" i="9" s="1"/>
  <c r="M28" i="9"/>
  <c r="O28" i="9" s="1"/>
  <c r="O39" i="9" s="1"/>
  <c r="M32" i="9"/>
  <c r="O32" i="9" s="1"/>
  <c r="V35" i="9"/>
  <c r="M36" i="9"/>
  <c r="O36" i="9" s="1"/>
  <c r="N39" i="9"/>
  <c r="W35" i="9"/>
  <c r="W39" i="9" s="1"/>
  <c r="O40" i="9" l="1"/>
  <c r="O41" i="9" s="1"/>
  <c r="I40" i="9"/>
  <c r="I41" i="9" s="1"/>
  <c r="Y17" i="9"/>
  <c r="AA17" i="9" s="1"/>
  <c r="AB17" i="9" s="1"/>
  <c r="AB33" i="9"/>
  <c r="W54" i="9"/>
  <c r="W40" i="9"/>
  <c r="AB16" i="9"/>
  <c r="V50" i="9"/>
  <c r="Y51" i="9"/>
  <c r="S39" i="9"/>
  <c r="S40" i="9" s="1"/>
  <c r="I39" i="9"/>
  <c r="N40" i="9"/>
  <c r="X39" i="9"/>
  <c r="X40" i="9" s="1"/>
  <c r="V24" i="9"/>
  <c r="Y15" i="9"/>
  <c r="AA15" i="9" s="1"/>
  <c r="AB32" i="9"/>
  <c r="R40" i="9"/>
  <c r="V39" i="9"/>
  <c r="Y39" i="9" s="1"/>
  <c r="Y35" i="9"/>
  <c r="AA35" i="9" s="1"/>
  <c r="J40" i="9"/>
  <c r="M24" i="9"/>
  <c r="M40" i="9" s="1"/>
  <c r="AB21" i="9"/>
  <c r="M39" i="9"/>
  <c r="G24" i="9"/>
  <c r="G40" i="9" s="1"/>
  <c r="D40" i="9"/>
  <c r="W50" i="9" l="1"/>
  <c r="Y54" i="9"/>
  <c r="Y50" i="9"/>
  <c r="V40" i="9"/>
  <c r="Y24" i="9"/>
  <c r="Y40" i="9" s="1"/>
  <c r="AA39" i="9"/>
  <c r="AB39" i="9" s="1"/>
  <c r="AB35" i="9"/>
  <c r="AA24" i="9"/>
  <c r="AB15" i="9"/>
  <c r="AA40" i="9" l="1"/>
  <c r="AA41" i="9" s="1"/>
  <c r="AB41" i="9" s="1"/>
  <c r="AB24" i="9"/>
  <c r="Y54" i="8" l="1"/>
  <c r="S54" i="8"/>
  <c r="M54" i="8"/>
  <c r="G54" i="8"/>
  <c r="F54" i="8"/>
  <c r="Y53" i="8"/>
  <c r="S53" i="8"/>
  <c r="M53" i="8"/>
  <c r="G53" i="8"/>
  <c r="Y52" i="8"/>
  <c r="S52" i="8"/>
  <c r="M52" i="8"/>
  <c r="F52" i="8"/>
  <c r="G52" i="8" s="1"/>
  <c r="E52" i="8"/>
  <c r="Y51" i="8"/>
  <c r="S51" i="8"/>
  <c r="M51" i="8"/>
  <c r="F51" i="8"/>
  <c r="D51" i="8"/>
  <c r="G51" i="8" s="1"/>
  <c r="Y50" i="8"/>
  <c r="X50" i="8"/>
  <c r="W50" i="8"/>
  <c r="V50" i="8"/>
  <c r="S50" i="8"/>
  <c r="R50" i="8"/>
  <c r="Q50" i="8"/>
  <c r="P50" i="8"/>
  <c r="M50" i="8"/>
  <c r="E50" i="8"/>
  <c r="D50" i="8"/>
  <c r="Z40" i="8"/>
  <c r="N40" i="8"/>
  <c r="Z39" i="8"/>
  <c r="X39" i="8"/>
  <c r="W39" i="8"/>
  <c r="T39" i="8"/>
  <c r="P39" i="8"/>
  <c r="N39" i="8"/>
  <c r="L39" i="8"/>
  <c r="K39" i="8"/>
  <c r="H39" i="8"/>
  <c r="Y38" i="8"/>
  <c r="AA38" i="8" s="1"/>
  <c r="AB38" i="8" s="1"/>
  <c r="S38" i="8"/>
  <c r="U38" i="8" s="1"/>
  <c r="R38" i="8"/>
  <c r="R39" i="8" s="1"/>
  <c r="R40" i="8" s="1"/>
  <c r="O38" i="8"/>
  <c r="M38" i="8"/>
  <c r="F38" i="8"/>
  <c r="E38" i="8"/>
  <c r="G38" i="8" s="1"/>
  <c r="I38" i="8" s="1"/>
  <c r="Y37" i="8"/>
  <c r="AA37" i="8" s="1"/>
  <c r="AB37" i="8" s="1"/>
  <c r="S37" i="8"/>
  <c r="U37" i="8" s="1"/>
  <c r="M37" i="8"/>
  <c r="O37" i="8" s="1"/>
  <c r="G37" i="8"/>
  <c r="I37" i="8" s="1"/>
  <c r="AA36" i="8"/>
  <c r="AB36" i="8" s="1"/>
  <c r="Y36" i="8"/>
  <c r="U36" i="8"/>
  <c r="S36" i="8"/>
  <c r="O36" i="8"/>
  <c r="M36" i="8"/>
  <c r="I36" i="8"/>
  <c r="G36" i="8"/>
  <c r="Y35" i="8"/>
  <c r="AA35" i="8" s="1"/>
  <c r="S35" i="8"/>
  <c r="U35" i="8" s="1"/>
  <c r="Q35" i="8"/>
  <c r="O35" i="8"/>
  <c r="M35" i="8"/>
  <c r="F35" i="8"/>
  <c r="F39" i="8" s="1"/>
  <c r="E35" i="8"/>
  <c r="D35" i="8"/>
  <c r="D39" i="8" s="1"/>
  <c r="AA34" i="8"/>
  <c r="AB34" i="8" s="1"/>
  <c r="Y34" i="8"/>
  <c r="Q34" i="8"/>
  <c r="S34" i="8" s="1"/>
  <c r="U34" i="8" s="1"/>
  <c r="M34" i="8"/>
  <c r="O34" i="8" s="1"/>
  <c r="G34" i="8"/>
  <c r="I34" i="8" s="1"/>
  <c r="F34" i="8"/>
  <c r="E34" i="8"/>
  <c r="AA33" i="8"/>
  <c r="AB33" i="8" s="1"/>
  <c r="Y33" i="8"/>
  <c r="Q33" i="8"/>
  <c r="S33" i="8" s="1"/>
  <c r="U33" i="8" s="1"/>
  <c r="M33" i="8"/>
  <c r="O33" i="8" s="1"/>
  <c r="G33" i="8"/>
  <c r="I33" i="8" s="1"/>
  <c r="F33" i="8"/>
  <c r="E33" i="8"/>
  <c r="E32" i="8" s="1"/>
  <c r="W32" i="8"/>
  <c r="V32" i="8"/>
  <c r="V39" i="8" s="1"/>
  <c r="M32" i="8"/>
  <c r="O32" i="8" s="1"/>
  <c r="J32" i="8"/>
  <c r="J39" i="8" s="1"/>
  <c r="F32" i="8"/>
  <c r="D32" i="8"/>
  <c r="AA31" i="8"/>
  <c r="AB31" i="8" s="1"/>
  <c r="Y31" i="8"/>
  <c r="Q31" i="8"/>
  <c r="S31" i="8" s="1"/>
  <c r="U31" i="8" s="1"/>
  <c r="M31" i="8"/>
  <c r="O31" i="8" s="1"/>
  <c r="G31" i="8"/>
  <c r="I31" i="8" s="1"/>
  <c r="F31" i="8"/>
  <c r="E31" i="8"/>
  <c r="D31" i="8"/>
  <c r="Y30" i="8"/>
  <c r="AA30" i="8" s="1"/>
  <c r="AB30" i="8" s="1"/>
  <c r="S30" i="8"/>
  <c r="U30" i="8" s="1"/>
  <c r="M30" i="8"/>
  <c r="O30" i="8" s="1"/>
  <c r="G30" i="8"/>
  <c r="I30" i="8" s="1"/>
  <c r="AA29" i="8"/>
  <c r="AB29" i="8" s="1"/>
  <c r="Y29" i="8"/>
  <c r="R29" i="8"/>
  <c r="Q29" i="8"/>
  <c r="S29" i="8" s="1"/>
  <c r="U29" i="8" s="1"/>
  <c r="O29" i="8"/>
  <c r="M29" i="8"/>
  <c r="F29" i="8"/>
  <c r="G29" i="8" s="1"/>
  <c r="I29" i="8" s="1"/>
  <c r="E29" i="8"/>
  <c r="Y28" i="8"/>
  <c r="AA28" i="8" s="1"/>
  <c r="AB28" i="8" s="1"/>
  <c r="S28" i="8"/>
  <c r="U28" i="8" s="1"/>
  <c r="M28" i="8"/>
  <c r="O28" i="8" s="1"/>
  <c r="G28" i="8"/>
  <c r="I28" i="8" s="1"/>
  <c r="Z24" i="8"/>
  <c r="X24" i="8"/>
  <c r="X40" i="8" s="1"/>
  <c r="W24" i="8"/>
  <c r="W40" i="8" s="1"/>
  <c r="V24" i="8"/>
  <c r="T24" i="8"/>
  <c r="T40" i="8" s="1"/>
  <c r="R24" i="8"/>
  <c r="P24" i="8"/>
  <c r="P40" i="8" s="1"/>
  <c r="N24" i="8"/>
  <c r="L24" i="8"/>
  <c r="L40" i="8" s="1"/>
  <c r="K24" i="8"/>
  <c r="K40" i="8" s="1"/>
  <c r="J24" i="8"/>
  <c r="H24" i="8"/>
  <c r="H40" i="8" s="1"/>
  <c r="E24" i="8"/>
  <c r="Y23" i="8"/>
  <c r="AA23" i="8" s="1"/>
  <c r="AB23" i="8" s="1"/>
  <c r="S23" i="8"/>
  <c r="U23" i="8" s="1"/>
  <c r="M23" i="8"/>
  <c r="O23" i="8" s="1"/>
  <c r="G23" i="8"/>
  <c r="I23" i="8" s="1"/>
  <c r="AA22" i="8"/>
  <c r="AB22" i="8" s="1"/>
  <c r="Y22" i="8"/>
  <c r="U22" i="8"/>
  <c r="S22" i="8"/>
  <c r="O22" i="8"/>
  <c r="M22" i="8"/>
  <c r="I22" i="8"/>
  <c r="G22" i="8"/>
  <c r="Y21" i="8"/>
  <c r="AA21" i="8" s="1"/>
  <c r="AB21" i="8" s="1"/>
  <c r="S21" i="8"/>
  <c r="U21" i="8" s="1"/>
  <c r="M21" i="8"/>
  <c r="O21" i="8" s="1"/>
  <c r="G21" i="8"/>
  <c r="I21" i="8" s="1"/>
  <c r="F21" i="8"/>
  <c r="F24" i="8" s="1"/>
  <c r="F40" i="8" s="1"/>
  <c r="Y20" i="8"/>
  <c r="AA20" i="8" s="1"/>
  <c r="S20" i="8"/>
  <c r="U20" i="8" s="1"/>
  <c r="M20" i="8"/>
  <c r="O20" i="8" s="1"/>
  <c r="I20" i="8"/>
  <c r="Y19" i="8"/>
  <c r="AA19" i="8" s="1"/>
  <c r="S19" i="8"/>
  <c r="U19" i="8" s="1"/>
  <c r="M19" i="8"/>
  <c r="O19" i="8" s="1"/>
  <c r="G19" i="8"/>
  <c r="I19" i="8" s="1"/>
  <c r="AA18" i="8"/>
  <c r="Y18" i="8"/>
  <c r="Q18" i="8"/>
  <c r="S18" i="8" s="1"/>
  <c r="U18" i="8" s="1"/>
  <c r="M18" i="8"/>
  <c r="O18" i="8" s="1"/>
  <c r="G18" i="8"/>
  <c r="I18" i="8" s="1"/>
  <c r="AA17" i="8"/>
  <c r="AB17" i="8" s="1"/>
  <c r="Y17" i="8"/>
  <c r="U17" i="8"/>
  <c r="S17" i="8"/>
  <c r="O17" i="8"/>
  <c r="M17" i="8"/>
  <c r="D17" i="8"/>
  <c r="D24" i="8" s="1"/>
  <c r="AA16" i="8"/>
  <c r="AB16" i="8" s="1"/>
  <c r="Y16" i="8"/>
  <c r="U16" i="8"/>
  <c r="S16" i="8"/>
  <c r="O16" i="8"/>
  <c r="M16" i="8"/>
  <c r="I16" i="8"/>
  <c r="G16" i="8"/>
  <c r="Y15" i="8"/>
  <c r="AA15" i="8" s="1"/>
  <c r="S15" i="8"/>
  <c r="U15" i="8" s="1"/>
  <c r="M15" i="8"/>
  <c r="O15" i="8" s="1"/>
  <c r="G15" i="8"/>
  <c r="I15" i="8" s="1"/>
  <c r="D40" i="8" l="1"/>
  <c r="G24" i="8"/>
  <c r="J40" i="8"/>
  <c r="M39" i="8"/>
  <c r="O24" i="8"/>
  <c r="E40" i="8"/>
  <c r="AB35" i="8"/>
  <c r="U24" i="8"/>
  <c r="G32" i="8"/>
  <c r="I32" i="8" s="1"/>
  <c r="V40" i="8"/>
  <c r="Y39" i="8"/>
  <c r="G39" i="8"/>
  <c r="O39" i="8"/>
  <c r="AA24" i="8"/>
  <c r="AB15" i="8"/>
  <c r="AB18" i="8"/>
  <c r="AB19" i="8"/>
  <c r="AB20" i="8"/>
  <c r="E39" i="8"/>
  <c r="G50" i="8"/>
  <c r="M24" i="8"/>
  <c r="M40" i="8" s="1"/>
  <c r="Q24" i="8"/>
  <c r="Y24" i="8"/>
  <c r="Y40" i="8" s="1"/>
  <c r="Q32" i="8"/>
  <c r="S32" i="8" s="1"/>
  <c r="U32" i="8" s="1"/>
  <c r="U39" i="8" s="1"/>
  <c r="Q39" i="8"/>
  <c r="S39" i="8" s="1"/>
  <c r="F50" i="8"/>
  <c r="Y32" i="8"/>
  <c r="AA32" i="8" s="1"/>
  <c r="AB32" i="8" s="1"/>
  <c r="G17" i="8"/>
  <c r="I17" i="8" s="1"/>
  <c r="I24" i="8" s="1"/>
  <c r="I40" i="8" s="1"/>
  <c r="I41" i="8" s="1"/>
  <c r="G35" i="8"/>
  <c r="I35" i="8" s="1"/>
  <c r="I39" i="8" s="1"/>
  <c r="U40" i="8" l="1"/>
  <c r="U41" i="8" s="1"/>
  <c r="G40" i="8"/>
  <c r="O40" i="8"/>
  <c r="O41" i="8" s="1"/>
  <c r="S24" i="8"/>
  <c r="S40" i="8" s="1"/>
  <c r="Q40" i="8"/>
  <c r="AB24" i="8"/>
  <c r="AA39" i="8"/>
  <c r="AB39" i="8" s="1"/>
  <c r="AA40" i="8" l="1"/>
  <c r="AA41" i="8" l="1"/>
  <c r="AB41" i="8" s="1"/>
  <c r="AB40" i="8"/>
  <c r="Y54" i="7" l="1"/>
  <c r="S54" i="7"/>
  <c r="M54" i="7"/>
  <c r="G54" i="7"/>
  <c r="Y53" i="7"/>
  <c r="S53" i="7"/>
  <c r="M53" i="7"/>
  <c r="G53" i="7"/>
  <c r="Y52" i="7"/>
  <c r="S52" i="7"/>
  <c r="M52" i="7"/>
  <c r="G52" i="7"/>
  <c r="Y51" i="7"/>
  <c r="S51" i="7"/>
  <c r="M51" i="7"/>
  <c r="G51" i="7"/>
  <c r="Y50" i="7"/>
  <c r="S50" i="7"/>
  <c r="M50" i="7"/>
  <c r="G50" i="7"/>
  <c r="H46" i="7"/>
  <c r="Q40" i="7"/>
  <c r="E40" i="7"/>
  <c r="Z39" i="7"/>
  <c r="W39" i="7"/>
  <c r="W40" i="7" s="1"/>
  <c r="V39" i="7"/>
  <c r="T39" i="7"/>
  <c r="R39" i="7"/>
  <c r="S39" i="7" s="1"/>
  <c r="Q39" i="7"/>
  <c r="P39" i="7"/>
  <c r="N39" i="7"/>
  <c r="L39" i="7"/>
  <c r="K39" i="7"/>
  <c r="K40" i="7" s="1"/>
  <c r="J39" i="7"/>
  <c r="M39" i="7" s="1"/>
  <c r="H39" i="7"/>
  <c r="F39" i="7"/>
  <c r="G39" i="7" s="1"/>
  <c r="E39" i="7"/>
  <c r="D39" i="7"/>
  <c r="X38" i="7"/>
  <c r="Y38" i="7" s="1"/>
  <c r="AA38" i="7" s="1"/>
  <c r="AB38" i="7" s="1"/>
  <c r="S38" i="7"/>
  <c r="U38" i="7" s="1"/>
  <c r="J38" i="7"/>
  <c r="M38" i="7" s="1"/>
  <c r="O38" i="7" s="1"/>
  <c r="I38" i="7"/>
  <c r="G38" i="7"/>
  <c r="Y37" i="7"/>
  <c r="AA37" i="7" s="1"/>
  <c r="AB37" i="7" s="1"/>
  <c r="S37" i="7"/>
  <c r="U37" i="7" s="1"/>
  <c r="M37" i="7"/>
  <c r="O37" i="7" s="1"/>
  <c r="G37" i="7"/>
  <c r="I37" i="7" s="1"/>
  <c r="AA36" i="7"/>
  <c r="AB36" i="7" s="1"/>
  <c r="Y36" i="7"/>
  <c r="S36" i="7"/>
  <c r="U36" i="7" s="1"/>
  <c r="O36" i="7"/>
  <c r="M36" i="7"/>
  <c r="G36" i="7"/>
  <c r="I36" i="7" s="1"/>
  <c r="X35" i="7"/>
  <c r="U35" i="7"/>
  <c r="S35" i="7"/>
  <c r="M35" i="7"/>
  <c r="O35" i="7" s="1"/>
  <c r="I35" i="7"/>
  <c r="G35" i="7"/>
  <c r="Y34" i="7"/>
  <c r="AA34" i="7" s="1"/>
  <c r="AB34" i="7" s="1"/>
  <c r="S34" i="7"/>
  <c r="U34" i="7" s="1"/>
  <c r="M34" i="7"/>
  <c r="O34" i="7" s="1"/>
  <c r="G34" i="7"/>
  <c r="I34" i="7" s="1"/>
  <c r="AA33" i="7"/>
  <c r="AB33" i="7" s="1"/>
  <c r="Y33" i="7"/>
  <c r="S33" i="7"/>
  <c r="U33" i="7" s="1"/>
  <c r="O33" i="7"/>
  <c r="M33" i="7"/>
  <c r="G33" i="7"/>
  <c r="I33" i="7" s="1"/>
  <c r="X32" i="7"/>
  <c r="Y32" i="7" s="1"/>
  <c r="AA32" i="7" s="1"/>
  <c r="AB32" i="7" s="1"/>
  <c r="U32" i="7"/>
  <c r="S32" i="7"/>
  <c r="M32" i="7"/>
  <c r="O32" i="7" s="1"/>
  <c r="I32" i="7"/>
  <c r="G32" i="7"/>
  <c r="Y31" i="7"/>
  <c r="AA31" i="7" s="1"/>
  <c r="X31" i="7"/>
  <c r="S31" i="7"/>
  <c r="U31" i="7" s="1"/>
  <c r="O31" i="7"/>
  <c r="M31" i="7"/>
  <c r="G31" i="7"/>
  <c r="I31" i="7" s="1"/>
  <c r="Y30" i="7"/>
  <c r="AA30" i="7" s="1"/>
  <c r="AB30" i="7" s="1"/>
  <c r="S30" i="7"/>
  <c r="U30" i="7" s="1"/>
  <c r="M30" i="7"/>
  <c r="O30" i="7" s="1"/>
  <c r="G30" i="7"/>
  <c r="I30" i="7" s="1"/>
  <c r="X29" i="7"/>
  <c r="Y29" i="7" s="1"/>
  <c r="AA29" i="7" s="1"/>
  <c r="AB29" i="7" s="1"/>
  <c r="S29" i="7"/>
  <c r="U29" i="7" s="1"/>
  <c r="M29" i="7"/>
  <c r="O29" i="7" s="1"/>
  <c r="G29" i="7"/>
  <c r="I29" i="7" s="1"/>
  <c r="AA28" i="7"/>
  <c r="AB28" i="7" s="1"/>
  <c r="Y28" i="7"/>
  <c r="S28" i="7"/>
  <c r="U28" i="7" s="1"/>
  <c r="O28" i="7"/>
  <c r="M28" i="7"/>
  <c r="G28" i="7"/>
  <c r="I28" i="7" s="1"/>
  <c r="Z24" i="7"/>
  <c r="Z40" i="7" s="1"/>
  <c r="X24" i="7"/>
  <c r="W24" i="7"/>
  <c r="V24" i="7"/>
  <c r="V40" i="7" s="1"/>
  <c r="T24" i="7"/>
  <c r="T40" i="7" s="1"/>
  <c r="R24" i="7"/>
  <c r="R40" i="7" s="1"/>
  <c r="Q24" i="7"/>
  <c r="P24" i="7"/>
  <c r="N24" i="7"/>
  <c r="N40" i="7" s="1"/>
  <c r="L24" i="7"/>
  <c r="K24" i="7"/>
  <c r="J24" i="7"/>
  <c r="H24" i="7"/>
  <c r="H40" i="7" s="1"/>
  <c r="F24" i="7"/>
  <c r="F40" i="7" s="1"/>
  <c r="E24" i="7"/>
  <c r="D24" i="7"/>
  <c r="Y23" i="7"/>
  <c r="AA23" i="7" s="1"/>
  <c r="AB23" i="7" s="1"/>
  <c r="U23" i="7"/>
  <c r="S23" i="7"/>
  <c r="M23" i="7"/>
  <c r="O23" i="7" s="1"/>
  <c r="I23" i="7"/>
  <c r="G23" i="7"/>
  <c r="Y22" i="7"/>
  <c r="AA22" i="7" s="1"/>
  <c r="S22" i="7"/>
  <c r="U22" i="7" s="1"/>
  <c r="M22" i="7"/>
  <c r="O22" i="7" s="1"/>
  <c r="G22" i="7"/>
  <c r="I22" i="7" s="1"/>
  <c r="X21" i="7"/>
  <c r="Y21" i="7" s="1"/>
  <c r="AA21" i="7" s="1"/>
  <c r="AB21" i="7" s="1"/>
  <c r="S21" i="7"/>
  <c r="U21" i="7" s="1"/>
  <c r="M21" i="7"/>
  <c r="O21" i="7" s="1"/>
  <c r="G21" i="7"/>
  <c r="I21" i="7" s="1"/>
  <c r="Y20" i="7"/>
  <c r="AA20" i="7" s="1"/>
  <c r="AB20" i="7" s="1"/>
  <c r="U20" i="7"/>
  <c r="S20" i="7"/>
  <c r="M20" i="7"/>
  <c r="O20" i="7" s="1"/>
  <c r="I20" i="7"/>
  <c r="G20" i="7"/>
  <c r="Y19" i="7"/>
  <c r="AA19" i="7" s="1"/>
  <c r="AB19" i="7" s="1"/>
  <c r="S19" i="7"/>
  <c r="U19" i="7" s="1"/>
  <c r="M19" i="7"/>
  <c r="O19" i="7" s="1"/>
  <c r="G19" i="7"/>
  <c r="I19" i="7" s="1"/>
  <c r="AA18" i="7"/>
  <c r="AB18" i="7" s="1"/>
  <c r="Y18" i="7"/>
  <c r="S18" i="7"/>
  <c r="U18" i="7" s="1"/>
  <c r="O18" i="7"/>
  <c r="M18" i="7"/>
  <c r="G18" i="7"/>
  <c r="I18" i="7" s="1"/>
  <c r="Y17" i="7"/>
  <c r="AA17" i="7" s="1"/>
  <c r="AB17" i="7" s="1"/>
  <c r="S17" i="7"/>
  <c r="U17" i="7" s="1"/>
  <c r="M17" i="7"/>
  <c r="O17" i="7" s="1"/>
  <c r="G17" i="7"/>
  <c r="I17" i="7" s="1"/>
  <c r="Y16" i="7"/>
  <c r="AA16" i="7" s="1"/>
  <c r="AB16" i="7" s="1"/>
  <c r="U16" i="7"/>
  <c r="S16" i="7"/>
  <c r="M16" i="7"/>
  <c r="O16" i="7" s="1"/>
  <c r="I16" i="7"/>
  <c r="G16" i="7"/>
  <c r="Y15" i="7"/>
  <c r="AA15" i="7" s="1"/>
  <c r="S15" i="7"/>
  <c r="U15" i="7" s="1"/>
  <c r="O15" i="7"/>
  <c r="O24" i="7" s="1"/>
  <c r="M15" i="7"/>
  <c r="G15" i="7"/>
  <c r="I15" i="7" s="1"/>
  <c r="AA24" i="7" l="1"/>
  <c r="AB15" i="7"/>
  <c r="M24" i="7"/>
  <c r="M40" i="7" s="1"/>
  <c r="L40" i="7"/>
  <c r="Y24" i="7"/>
  <c r="U24" i="7"/>
  <c r="U39" i="7"/>
  <c r="I24" i="7"/>
  <c r="D40" i="7"/>
  <c r="G24" i="7"/>
  <c r="G40" i="7" s="1"/>
  <c r="J40" i="7"/>
  <c r="P40" i="7"/>
  <c r="S24" i="7"/>
  <c r="S40" i="7" s="1"/>
  <c r="I39" i="7"/>
  <c r="X39" i="7"/>
  <c r="X40" i="7" s="1"/>
  <c r="AB22" i="7"/>
  <c r="AB31" i="7"/>
  <c r="O39" i="7"/>
  <c r="O40" i="7" s="1"/>
  <c r="O41" i="7" s="1"/>
  <c r="Y35" i="7"/>
  <c r="AA35" i="7" s="1"/>
  <c r="AA39" i="7" l="1"/>
  <c r="AB39" i="7" s="1"/>
  <c r="AB35" i="7"/>
  <c r="U40" i="7"/>
  <c r="U41" i="7" s="1"/>
  <c r="AA40" i="7"/>
  <c r="AB24" i="7"/>
  <c r="Y39" i="7"/>
  <c r="Y40" i="7" s="1"/>
  <c r="I40" i="7"/>
  <c r="I41" i="7" s="1"/>
  <c r="AA41" i="7" l="1"/>
  <c r="AB41" i="7" s="1"/>
  <c r="AB40" i="7"/>
  <c r="V54" i="6" l="1"/>
  <c r="Y54" i="6" s="1"/>
  <c r="S54" i="6"/>
  <c r="M54" i="6"/>
  <c r="G54" i="6"/>
  <c r="S53" i="6"/>
  <c r="V53" i="6" s="1"/>
  <c r="Y53" i="6" s="1"/>
  <c r="M53" i="6"/>
  <c r="G53" i="6"/>
  <c r="V52" i="6"/>
  <c r="Y52" i="6" s="1"/>
  <c r="S52" i="6"/>
  <c r="M52" i="6"/>
  <c r="G52" i="6"/>
  <c r="S51" i="6"/>
  <c r="V51" i="6" s="1"/>
  <c r="Y51" i="6" s="1"/>
  <c r="M51" i="6"/>
  <c r="G51" i="6"/>
  <c r="X50" i="6"/>
  <c r="W50" i="6"/>
  <c r="R50" i="6"/>
  <c r="Q50" i="6"/>
  <c r="L50" i="6"/>
  <c r="M50" i="6" s="1"/>
  <c r="P50" i="6" s="1"/>
  <c r="S50" i="6" s="1"/>
  <c r="V50" i="6" s="1"/>
  <c r="Y50" i="6" s="1"/>
  <c r="K50" i="6"/>
  <c r="G50" i="6"/>
  <c r="F50" i="6"/>
  <c r="E50" i="6"/>
  <c r="D50" i="6"/>
  <c r="Z39" i="6"/>
  <c r="X39" i="6"/>
  <c r="W39" i="6"/>
  <c r="V39" i="6"/>
  <c r="Y39" i="6" s="1"/>
  <c r="T39" i="6"/>
  <c r="R39" i="6"/>
  <c r="Q39" i="6"/>
  <c r="P39" i="6"/>
  <c r="S39" i="6" s="1"/>
  <c r="N39" i="6"/>
  <c r="L39" i="6"/>
  <c r="K39" i="6"/>
  <c r="J39" i="6"/>
  <c r="M39" i="6" s="1"/>
  <c r="H39" i="6"/>
  <c r="D39" i="6"/>
  <c r="AA38" i="6"/>
  <c r="AB38" i="6" s="1"/>
  <c r="Y38" i="6"/>
  <c r="U38" i="6"/>
  <c r="S38" i="6"/>
  <c r="O38" i="6"/>
  <c r="M38" i="6"/>
  <c r="E38" i="6"/>
  <c r="G38" i="6" s="1"/>
  <c r="I38" i="6" s="1"/>
  <c r="AA37" i="6"/>
  <c r="AB37" i="6" s="1"/>
  <c r="Y37" i="6"/>
  <c r="U37" i="6"/>
  <c r="S37" i="6"/>
  <c r="O37" i="6"/>
  <c r="M37" i="6"/>
  <c r="F37" i="6"/>
  <c r="G37" i="6" s="1"/>
  <c r="I37" i="6" s="1"/>
  <c r="AA36" i="6"/>
  <c r="AB36" i="6" s="1"/>
  <c r="Y36" i="6"/>
  <c r="U36" i="6"/>
  <c r="S36" i="6"/>
  <c r="O36" i="6"/>
  <c r="M36" i="6"/>
  <c r="I36" i="6"/>
  <c r="G36" i="6"/>
  <c r="Y35" i="6"/>
  <c r="AA35" i="6" s="1"/>
  <c r="S35" i="6"/>
  <c r="U35" i="6" s="1"/>
  <c r="M35" i="6"/>
  <c r="O35" i="6" s="1"/>
  <c r="G35" i="6"/>
  <c r="I35" i="6" s="1"/>
  <c r="E35" i="6"/>
  <c r="Y34" i="6"/>
  <c r="AA34" i="6" s="1"/>
  <c r="U34" i="6"/>
  <c r="S34" i="6"/>
  <c r="M34" i="6"/>
  <c r="O34" i="6" s="1"/>
  <c r="I34" i="6"/>
  <c r="G34" i="6"/>
  <c r="AA33" i="6"/>
  <c r="AB33" i="6" s="1"/>
  <c r="Y33" i="6"/>
  <c r="Q33" i="6"/>
  <c r="S33" i="6" s="1"/>
  <c r="U33" i="6" s="1"/>
  <c r="O33" i="6"/>
  <c r="M33" i="6"/>
  <c r="Y32" i="6"/>
  <c r="AA32" i="6" s="1"/>
  <c r="U32" i="6"/>
  <c r="S32" i="6"/>
  <c r="M32" i="6"/>
  <c r="O32" i="6" s="1"/>
  <c r="E32" i="6"/>
  <c r="E33" i="6" s="1"/>
  <c r="AB31" i="6"/>
  <c r="AA31" i="6"/>
  <c r="Y31" i="6"/>
  <c r="S31" i="6"/>
  <c r="U31" i="6" s="1"/>
  <c r="O31" i="6"/>
  <c r="M31" i="6"/>
  <c r="G31" i="6"/>
  <c r="I31" i="6" s="1"/>
  <c r="F31" i="6"/>
  <c r="F39" i="6" s="1"/>
  <c r="E31" i="6"/>
  <c r="AA30" i="6"/>
  <c r="AB30" i="6" s="1"/>
  <c r="Y30" i="6"/>
  <c r="S30" i="6"/>
  <c r="U30" i="6" s="1"/>
  <c r="O30" i="6"/>
  <c r="M30" i="6"/>
  <c r="G30" i="6"/>
  <c r="I30" i="6" s="1"/>
  <c r="AB29" i="6"/>
  <c r="AA29" i="6"/>
  <c r="Y29" i="6"/>
  <c r="S29" i="6"/>
  <c r="U29" i="6" s="1"/>
  <c r="O29" i="6"/>
  <c r="M29" i="6"/>
  <c r="G29" i="6"/>
  <c r="I29" i="6" s="1"/>
  <c r="Y28" i="6"/>
  <c r="AA28" i="6" s="1"/>
  <c r="AB28" i="6" s="1"/>
  <c r="U28" i="6"/>
  <c r="S28" i="6"/>
  <c r="M28" i="6"/>
  <c r="O28" i="6" s="1"/>
  <c r="I28" i="6"/>
  <c r="G28" i="6"/>
  <c r="Z24" i="6"/>
  <c r="Z40" i="6" s="1"/>
  <c r="X24" i="6"/>
  <c r="X40" i="6" s="1"/>
  <c r="W24" i="6"/>
  <c r="W40" i="6" s="1"/>
  <c r="T24" i="6"/>
  <c r="T40" i="6" s="1"/>
  <c r="R24" i="6"/>
  <c r="S24" i="6" s="1"/>
  <c r="Q24" i="6"/>
  <c r="Q40" i="6" s="1"/>
  <c r="P24" i="6"/>
  <c r="P40" i="6" s="1"/>
  <c r="N24" i="6"/>
  <c r="N40" i="6" s="1"/>
  <c r="L24" i="6"/>
  <c r="L40" i="6" s="1"/>
  <c r="K24" i="6"/>
  <c r="K40" i="6" s="1"/>
  <c r="J24" i="6"/>
  <c r="M24" i="6" s="1"/>
  <c r="M40" i="6" s="1"/>
  <c r="H24" i="6"/>
  <c r="H40" i="6" s="1"/>
  <c r="F24" i="6"/>
  <c r="G24" i="6" s="1"/>
  <c r="E24" i="6"/>
  <c r="D24" i="6"/>
  <c r="D40" i="6" s="1"/>
  <c r="AA23" i="6"/>
  <c r="AB23" i="6" s="1"/>
  <c r="Y23" i="6"/>
  <c r="S23" i="6"/>
  <c r="U23" i="6" s="1"/>
  <c r="O23" i="6"/>
  <c r="M23" i="6"/>
  <c r="G23" i="6"/>
  <c r="I23" i="6" s="1"/>
  <c r="AB22" i="6"/>
  <c r="AA22" i="6"/>
  <c r="Y22" i="6"/>
  <c r="S22" i="6"/>
  <c r="U22" i="6" s="1"/>
  <c r="O22" i="6"/>
  <c r="M22" i="6"/>
  <c r="G22" i="6"/>
  <c r="I22" i="6" s="1"/>
  <c r="Y21" i="6"/>
  <c r="AA21" i="6" s="1"/>
  <c r="U21" i="6"/>
  <c r="S21" i="6"/>
  <c r="M21" i="6"/>
  <c r="O21" i="6" s="1"/>
  <c r="I21" i="6"/>
  <c r="G21" i="6"/>
  <c r="Y20" i="6"/>
  <c r="AA20" i="6" s="1"/>
  <c r="AB20" i="6" s="1"/>
  <c r="U20" i="6"/>
  <c r="S20" i="6"/>
  <c r="M20" i="6"/>
  <c r="O20" i="6" s="1"/>
  <c r="I20" i="6"/>
  <c r="G20" i="6"/>
  <c r="AA19" i="6"/>
  <c r="AB19" i="6" s="1"/>
  <c r="Y19" i="6"/>
  <c r="S19" i="6"/>
  <c r="U19" i="6" s="1"/>
  <c r="O19" i="6"/>
  <c r="M19" i="6"/>
  <c r="G19" i="6"/>
  <c r="I19" i="6" s="1"/>
  <c r="AB18" i="6"/>
  <c r="AA18" i="6"/>
  <c r="Y18" i="6"/>
  <c r="S18" i="6"/>
  <c r="U18" i="6" s="1"/>
  <c r="O18" i="6"/>
  <c r="M18" i="6"/>
  <c r="G18" i="6"/>
  <c r="I18" i="6" s="1"/>
  <c r="V17" i="6"/>
  <c r="Y17" i="6" s="1"/>
  <c r="AA17" i="6" s="1"/>
  <c r="AB17" i="6" s="1"/>
  <c r="U17" i="6"/>
  <c r="S17" i="6"/>
  <c r="M17" i="6"/>
  <c r="O17" i="6" s="1"/>
  <c r="I17" i="6"/>
  <c r="G17" i="6"/>
  <c r="AA16" i="6"/>
  <c r="AA24" i="6" s="1"/>
  <c r="Y16" i="6"/>
  <c r="S16" i="6"/>
  <c r="U16" i="6" s="1"/>
  <c r="O16" i="6"/>
  <c r="O24" i="6" s="1"/>
  <c r="M16" i="6"/>
  <c r="G16" i="6"/>
  <c r="I16" i="6" s="1"/>
  <c r="AB15" i="6"/>
  <c r="AA15" i="6"/>
  <c r="Y15" i="6"/>
  <c r="S15" i="6"/>
  <c r="U15" i="6" s="1"/>
  <c r="O15" i="6"/>
  <c r="M15" i="6"/>
  <c r="G15" i="6"/>
  <c r="I15" i="6" s="1"/>
  <c r="I24" i="6" s="1"/>
  <c r="O39" i="6" l="1"/>
  <c r="O40" i="6" s="1"/>
  <c r="O41" i="6" s="1"/>
  <c r="U24" i="6"/>
  <c r="AB21" i="6"/>
  <c r="S40" i="6"/>
  <c r="AB34" i="6"/>
  <c r="U39" i="6"/>
  <c r="G39" i="6"/>
  <c r="G40" i="6" s="1"/>
  <c r="AB24" i="6"/>
  <c r="E39" i="6"/>
  <c r="E40" i="6" s="1"/>
  <c r="G33" i="6"/>
  <c r="I33" i="6" s="1"/>
  <c r="AB32" i="6"/>
  <c r="AA39" i="6"/>
  <c r="AB35" i="6"/>
  <c r="V24" i="6"/>
  <c r="F40" i="6"/>
  <c r="J40" i="6"/>
  <c r="R40" i="6"/>
  <c r="AB16" i="6"/>
  <c r="G32" i="6"/>
  <c r="I32" i="6" s="1"/>
  <c r="I39" i="6" s="1"/>
  <c r="I40" i="6" s="1"/>
  <c r="I41" i="6" s="1"/>
  <c r="AB39" i="6" l="1"/>
  <c r="U40" i="6"/>
  <c r="U41" i="6" s="1"/>
  <c r="Y24" i="6"/>
  <c r="Y40" i="6" s="1"/>
  <c r="V40" i="6"/>
  <c r="AA40" i="6"/>
  <c r="AA41" i="6" l="1"/>
  <c r="AB41" i="6" s="1"/>
  <c r="AB40" i="6"/>
  <c r="Y56" i="5" l="1"/>
  <c r="S56" i="5"/>
  <c r="M56" i="5"/>
  <c r="G56" i="5"/>
  <c r="Y55" i="5"/>
  <c r="S55" i="5"/>
  <c r="M55" i="5"/>
  <c r="G55" i="5"/>
  <c r="Y54" i="5"/>
  <c r="S54" i="5"/>
  <c r="M54" i="5"/>
  <c r="G54" i="5"/>
  <c r="Y53" i="5"/>
  <c r="S53" i="5"/>
  <c r="M53" i="5"/>
  <c r="G53" i="5"/>
  <c r="Y52" i="5"/>
  <c r="S52" i="5"/>
  <c r="M52" i="5"/>
  <c r="G52" i="5"/>
  <c r="Z41" i="5"/>
  <c r="X41" i="5"/>
  <c r="W41" i="5"/>
  <c r="V41" i="5"/>
  <c r="Y41" i="5" s="1"/>
  <c r="T41" i="5"/>
  <c r="S41" i="5"/>
  <c r="R41" i="5"/>
  <c r="Q41" i="5"/>
  <c r="P41" i="5"/>
  <c r="N41" i="5"/>
  <c r="L41" i="5"/>
  <c r="K41" i="5"/>
  <c r="J41" i="5"/>
  <c r="M41" i="5" s="1"/>
  <c r="H41" i="5"/>
  <c r="G41" i="5"/>
  <c r="F41" i="5"/>
  <c r="E41" i="5"/>
  <c r="D41" i="5"/>
  <c r="Y40" i="5"/>
  <c r="AA40" i="5" s="1"/>
  <c r="S40" i="5"/>
  <c r="U40" i="5" s="1"/>
  <c r="M40" i="5"/>
  <c r="O40" i="5" s="1"/>
  <c r="G40" i="5"/>
  <c r="I40" i="5" s="1"/>
  <c r="Y39" i="5"/>
  <c r="AA39" i="5" s="1"/>
  <c r="S39" i="5"/>
  <c r="U39" i="5" s="1"/>
  <c r="M39" i="5"/>
  <c r="O39" i="5" s="1"/>
  <c r="G39" i="5"/>
  <c r="I39" i="5" s="1"/>
  <c r="Y38" i="5"/>
  <c r="AA38" i="5" s="1"/>
  <c r="AB38" i="5" s="1"/>
  <c r="U38" i="5"/>
  <c r="S38" i="5"/>
  <c r="M38" i="5"/>
  <c r="O38" i="5" s="1"/>
  <c r="I38" i="5"/>
  <c r="G38" i="5"/>
  <c r="Y37" i="5"/>
  <c r="AA37" i="5" s="1"/>
  <c r="AB37" i="5" s="1"/>
  <c r="U37" i="5"/>
  <c r="S37" i="5"/>
  <c r="M37" i="5"/>
  <c r="O37" i="5" s="1"/>
  <c r="I37" i="5"/>
  <c r="G37" i="5"/>
  <c r="AA36" i="5"/>
  <c r="AB36" i="5" s="1"/>
  <c r="Y36" i="5"/>
  <c r="S36" i="5"/>
  <c r="U36" i="5" s="1"/>
  <c r="O36" i="5"/>
  <c r="M36" i="5"/>
  <c r="G36" i="5"/>
  <c r="I36" i="5" s="1"/>
  <c r="I41" i="5" s="1"/>
  <c r="AB35" i="5"/>
  <c r="AA35" i="5"/>
  <c r="Y35" i="5"/>
  <c r="S35" i="5"/>
  <c r="U35" i="5" s="1"/>
  <c r="O35" i="5"/>
  <c r="M35" i="5"/>
  <c r="G35" i="5"/>
  <c r="I35" i="5" s="1"/>
  <c r="Y34" i="5"/>
  <c r="AA34" i="5" s="1"/>
  <c r="AB34" i="5" s="1"/>
  <c r="U34" i="5"/>
  <c r="S34" i="5"/>
  <c r="M34" i="5"/>
  <c r="O34" i="5" s="1"/>
  <c r="I34" i="5"/>
  <c r="G34" i="5"/>
  <c r="Y33" i="5"/>
  <c r="AA33" i="5" s="1"/>
  <c r="U33" i="5"/>
  <c r="S33" i="5"/>
  <c r="M33" i="5"/>
  <c r="O33" i="5" s="1"/>
  <c r="I33" i="5"/>
  <c r="G33" i="5"/>
  <c r="AA32" i="5"/>
  <c r="AB32" i="5" s="1"/>
  <c r="Y32" i="5"/>
  <c r="U32" i="5"/>
  <c r="S32" i="5"/>
  <c r="O32" i="5"/>
  <c r="M32" i="5"/>
  <c r="I32" i="5"/>
  <c r="G32" i="5"/>
  <c r="Y31" i="5"/>
  <c r="S31" i="5"/>
  <c r="U31" i="5" s="1"/>
  <c r="M31" i="5"/>
  <c r="O31" i="5" s="1"/>
  <c r="G31" i="5"/>
  <c r="I31" i="5" s="1"/>
  <c r="AA30" i="5"/>
  <c r="AB30" i="5" s="1"/>
  <c r="Y30" i="5"/>
  <c r="S30" i="5"/>
  <c r="U30" i="5" s="1"/>
  <c r="O30" i="5"/>
  <c r="M30" i="5"/>
  <c r="I30" i="5"/>
  <c r="G30" i="5"/>
  <c r="Y29" i="5"/>
  <c r="AA29" i="5" s="1"/>
  <c r="S29" i="5"/>
  <c r="U29" i="5" s="1"/>
  <c r="M29" i="5"/>
  <c r="O29" i="5" s="1"/>
  <c r="G29" i="5"/>
  <c r="I29" i="5" s="1"/>
  <c r="AA28" i="5"/>
  <c r="AB28" i="5" s="1"/>
  <c r="Y28" i="5"/>
  <c r="U28" i="5"/>
  <c r="S28" i="5"/>
  <c r="O28" i="5"/>
  <c r="M28" i="5"/>
  <c r="I28" i="5"/>
  <c r="G28" i="5"/>
  <c r="Z24" i="5"/>
  <c r="Z42" i="5" s="1"/>
  <c r="X24" i="5"/>
  <c r="X42" i="5" s="1"/>
  <c r="W24" i="5"/>
  <c r="W42" i="5" s="1"/>
  <c r="V24" i="5"/>
  <c r="Y24" i="5" s="1"/>
  <c r="T24" i="5"/>
  <c r="T42" i="5" s="1"/>
  <c r="R24" i="5"/>
  <c r="R42" i="5" s="1"/>
  <c r="Q24" i="5"/>
  <c r="Q42" i="5" s="1"/>
  <c r="P24" i="5"/>
  <c r="P42" i="5" s="1"/>
  <c r="N24" i="5"/>
  <c r="N42" i="5" s="1"/>
  <c r="L24" i="5"/>
  <c r="L42" i="5" s="1"/>
  <c r="K24" i="5"/>
  <c r="K42" i="5" s="1"/>
  <c r="J24" i="5"/>
  <c r="M24" i="5" s="1"/>
  <c r="H24" i="5"/>
  <c r="H42" i="5" s="1"/>
  <c r="F24" i="5"/>
  <c r="F42" i="5" s="1"/>
  <c r="E24" i="5"/>
  <c r="E42" i="5" s="1"/>
  <c r="D24" i="5"/>
  <c r="D42" i="5" s="1"/>
  <c r="AA23" i="5"/>
  <c r="AB23" i="5" s="1"/>
  <c r="Y23" i="5"/>
  <c r="U23" i="5"/>
  <c r="S23" i="5"/>
  <c r="O23" i="5"/>
  <c r="M23" i="5"/>
  <c r="I23" i="5"/>
  <c r="G23" i="5"/>
  <c r="Y22" i="5"/>
  <c r="AA22" i="5" s="1"/>
  <c r="S22" i="5"/>
  <c r="U22" i="5" s="1"/>
  <c r="M22" i="5"/>
  <c r="O22" i="5" s="1"/>
  <c r="G22" i="5"/>
  <c r="I22" i="5" s="1"/>
  <c r="Y21" i="5"/>
  <c r="AA21" i="5" s="1"/>
  <c r="AB21" i="5" s="1"/>
  <c r="U21" i="5"/>
  <c r="S21" i="5"/>
  <c r="M21" i="5"/>
  <c r="O21" i="5" s="1"/>
  <c r="I21" i="5"/>
  <c r="G21" i="5"/>
  <c r="Y20" i="5"/>
  <c r="AA20" i="5" s="1"/>
  <c r="AB20" i="5" s="1"/>
  <c r="U20" i="5"/>
  <c r="S20" i="5"/>
  <c r="M20" i="5"/>
  <c r="O20" i="5" s="1"/>
  <c r="I20" i="5"/>
  <c r="Y19" i="5"/>
  <c r="AA19" i="5" s="1"/>
  <c r="U19" i="5"/>
  <c r="S19" i="5"/>
  <c r="M19" i="5"/>
  <c r="O19" i="5" s="1"/>
  <c r="I19" i="5"/>
  <c r="G19" i="5"/>
  <c r="AA18" i="5"/>
  <c r="AB18" i="5" s="1"/>
  <c r="Y18" i="5"/>
  <c r="S18" i="5"/>
  <c r="U18" i="5" s="1"/>
  <c r="O18" i="5"/>
  <c r="M18" i="5"/>
  <c r="G18" i="5"/>
  <c r="I18" i="5" s="1"/>
  <c r="AB17" i="5"/>
  <c r="AA17" i="5"/>
  <c r="Y17" i="5"/>
  <c r="S17" i="5"/>
  <c r="U17" i="5" s="1"/>
  <c r="O17" i="5"/>
  <c r="M17" i="5"/>
  <c r="G17" i="5"/>
  <c r="I17" i="5" s="1"/>
  <c r="Y16" i="5"/>
  <c r="AA16" i="5" s="1"/>
  <c r="AB16" i="5" s="1"/>
  <c r="U16" i="5"/>
  <c r="S16" i="5"/>
  <c r="M16" i="5"/>
  <c r="O16" i="5" s="1"/>
  <c r="I16" i="5"/>
  <c r="G16" i="5"/>
  <c r="AA15" i="5"/>
  <c r="AB15" i="5" s="1"/>
  <c r="U15" i="5"/>
  <c r="S15" i="5"/>
  <c r="M15" i="5"/>
  <c r="O15" i="5" s="1"/>
  <c r="I15" i="5"/>
  <c r="G15" i="5"/>
  <c r="U24" i="5" l="1"/>
  <c r="I24" i="5"/>
  <c r="I42" i="5" s="1"/>
  <c r="I43" i="5" s="1"/>
  <c r="AB22" i="5"/>
  <c r="AB29" i="5"/>
  <c r="AB40" i="5"/>
  <c r="O24" i="5"/>
  <c r="AB19" i="5"/>
  <c r="M42" i="5"/>
  <c r="Y42" i="5"/>
  <c r="AB33" i="5"/>
  <c r="O41" i="5"/>
  <c r="U41" i="5"/>
  <c r="AA41" i="5"/>
  <c r="J42" i="5"/>
  <c r="G24" i="5"/>
  <c r="G42" i="5" s="1"/>
  <c r="S24" i="5"/>
  <c r="S42" i="5" s="1"/>
  <c r="AA24" i="5"/>
  <c r="V42" i="5"/>
  <c r="O42" i="5" l="1"/>
  <c r="O43" i="5" s="1"/>
  <c r="AB24" i="5"/>
  <c r="AA42" i="5"/>
  <c r="AB41" i="5"/>
  <c r="U42" i="5"/>
  <c r="U43" i="5" s="1"/>
  <c r="AA43" i="5" l="1"/>
  <c r="AB43" i="5" s="1"/>
  <c r="AB42" i="5"/>
  <c r="D38" i="3" l="1"/>
  <c r="D31" i="3"/>
  <c r="D29" i="3"/>
  <c r="D35" i="3"/>
  <c r="D34" i="3"/>
  <c r="D33" i="3"/>
  <c r="D32" i="3"/>
  <c r="E32" i="3"/>
  <c r="E33" i="3"/>
  <c r="E29" i="3"/>
  <c r="E31" i="3"/>
  <c r="V32" i="3" l="1"/>
  <c r="W32" i="3" l="1"/>
  <c r="J52" i="3" l="1"/>
  <c r="J50" i="3"/>
  <c r="Q32" i="3" l="1"/>
  <c r="P32" i="3"/>
  <c r="K32" i="3"/>
  <c r="J32" i="3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3" i="3"/>
  <c r="Y52" i="3"/>
  <c r="Y51" i="3"/>
  <c r="Y50" i="3"/>
  <c r="S53" i="3"/>
  <c r="S52" i="3"/>
  <c r="S51" i="3"/>
  <c r="S50" i="3"/>
  <c r="M53" i="3"/>
  <c r="M52" i="3"/>
  <c r="M51" i="3"/>
  <c r="M50" i="3"/>
  <c r="G52" i="3"/>
  <c r="G53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15" i="3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Y40" i="3"/>
  <c r="S40" i="3"/>
  <c r="U40" i="3"/>
  <c r="G38" i="3"/>
  <c r="AA40" i="3" l="1"/>
  <c r="AA41" i="3"/>
  <c r="U41" i="3"/>
  <c r="G18" i="3"/>
  <c r="G50" i="3" l="1"/>
  <c r="G51" i="3"/>
  <c r="N39" i="3" l="1"/>
  <c r="L39" i="3"/>
  <c r="K39" i="3"/>
  <c r="M38" i="3"/>
  <c r="M37" i="3"/>
  <c r="M36" i="3"/>
  <c r="M35" i="3"/>
  <c r="O34" i="3"/>
  <c r="AB34" i="3" s="1"/>
  <c r="M33" i="3"/>
  <c r="M32" i="3"/>
  <c r="M31" i="3"/>
  <c r="J39" i="3"/>
  <c r="M39" i="3" s="1"/>
  <c r="M29" i="3"/>
  <c r="M28" i="3"/>
  <c r="M23" i="3"/>
  <c r="O23" i="3" s="1"/>
  <c r="AB23" i="3" s="1"/>
  <c r="M22" i="3"/>
  <c r="O22" i="3" s="1"/>
  <c r="AB22" i="3" s="1"/>
  <c r="M21" i="3"/>
  <c r="O21" i="3" s="1"/>
  <c r="AB21" i="3" s="1"/>
  <c r="M20" i="3"/>
  <c r="O20" i="3" s="1"/>
  <c r="AB20" i="3" s="1"/>
  <c r="M19" i="3"/>
  <c r="O19" i="3" s="1"/>
  <c r="AB19" i="3" s="1"/>
  <c r="M18" i="3"/>
  <c r="O18" i="3" s="1"/>
  <c r="AB18" i="3" s="1"/>
  <c r="M17" i="3"/>
  <c r="O17" i="3" s="1"/>
  <c r="AB17" i="3" s="1"/>
  <c r="M16" i="3"/>
  <c r="O16" i="3" s="1"/>
  <c r="AB16" i="3" s="1"/>
  <c r="M15" i="3"/>
  <c r="O15" i="3" s="1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G19" i="3"/>
  <c r="I20" i="3"/>
  <c r="G21" i="3"/>
  <c r="G22" i="3"/>
  <c r="G23" i="3"/>
  <c r="I21" i="3" l="1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AB15" i="3"/>
  <c r="O24" i="3"/>
  <c r="AB24" i="3" s="1"/>
  <c r="K40" i="3"/>
  <c r="E40" i="3"/>
  <c r="N40" i="3"/>
  <c r="J40" i="3"/>
  <c r="M30" i="3"/>
  <c r="O36" i="3"/>
  <c r="AB36" i="3" s="1"/>
  <c r="L40" i="3"/>
  <c r="H40" i="3"/>
  <c r="D39" i="3"/>
  <c r="F40" i="3"/>
  <c r="I39" i="3" l="1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comments1.xml><?xml version="1.0" encoding="utf-8"?>
<comments xmlns="http://schemas.openxmlformats.org/spreadsheetml/2006/main">
  <authors>
    <author>vbuchtova</author>
  </authors>
  <commentList>
    <comment ref="X16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17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předpoklad UZ podle roku 2023 - uopřesnění částek až při projednávání rozpočtu</t>
        </r>
      </text>
    </comment>
    <comment ref="Y18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ropočer SR dle stavu k 21.6.2023 rozpočtu platného + 3539,6 NPO 14 na rok 2024
</t>
        </r>
      </text>
    </comment>
    <comment ref="Y20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převod OP jak -z 414 v předp. Výši čerpání 2024
</t>
        </r>
      </text>
    </comment>
    <comment ref="Z20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cerpání sponzor.+ 
</t>
        </r>
      </text>
    </comment>
    <comment ref="Z21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včetně úroků z poolu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plus 1/2 z UZ akce školy a prvence 29,8 
,tis.  A dílny z UZ 702 5.tis
</t>
        </r>
      </text>
    </comment>
    <comment ref="Y29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140 učebnice
</t>
        </r>
      </text>
    </comment>
    <comment ref="X31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plus 1/2 UZ prevence a akce školy 36+20
</t>
        </r>
      </text>
    </comment>
    <comment ref="Y31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95tis</t>
        </r>
      </text>
    </comment>
    <comment ref="X33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podle UZ z 2023 701+702</t>
        </r>
      </text>
    </comment>
    <comment ref="Y33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31323,6 dle stavu k 21.6.2023
</t>
        </r>
      </text>
    </comment>
    <comment ref="Y34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120 ze SR</t>
        </r>
      </text>
    </comment>
    <comment ref="X35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z dohod + UZ 701+702 
</t>
        </r>
      </text>
    </comment>
    <comment ref="Y35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dle rozpočtu k 21.6.2023 
</t>
        </r>
      </text>
    </comment>
    <comment ref="Z36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srážková z účasti v pooll</t>
        </r>
      </text>
    </comment>
    <comment ref="X38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plus 5,8 z UZ 701+702
jinak ostatní 5 z návrhu rozpočtu
</t>
        </r>
      </text>
    </comment>
    <comment ref="Y38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- fksp jen 1% z platného k 1.6.2023 - protože se předpokládáv 2024 snížení na 1%
</t>
        </r>
      </text>
    </comment>
  </commentList>
</comments>
</file>

<file path=xl/sharedStrings.xml><?xml version="1.0" encoding="utf-8"?>
<sst xmlns="http://schemas.openxmlformats.org/spreadsheetml/2006/main" count="3681" uniqueCount="276">
  <si>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</si>
  <si>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</si>
  <si>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</si>
  <si>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</si>
  <si>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</si>
  <si>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</si>
  <si>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</si>
  <si>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</si>
  <si>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</si>
  <si>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</si>
  <si>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</si>
  <si>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</si>
  <si>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</si>
  <si>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</si>
  <si>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</si>
  <si>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</si>
  <si>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</si>
  <si>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</si>
  <si>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</si>
  <si>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</si>
  <si>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</si>
  <si>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</si>
  <si>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</si>
  <si>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</si>
  <si>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</si>
  <si>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</si>
  <si>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</si>
  <si>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</si>
  <si>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</si>
  <si>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</si>
  <si>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</si>
  <si>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</si>
  <si>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</si>
  <si>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</si>
  <si>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</si>
  <si>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</si>
  <si>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</si>
  <si>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</si>
  <si>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</si>
  <si>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</si>
  <si>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</si>
  <si>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</si>
  <si>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</si>
  <si>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</si>
  <si>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</si>
  <si>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</si>
  <si>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</si>
  <si>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</si>
  <si>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</si>
  <si>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</si>
  <si>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</si>
  <si>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</si>
  <si>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</si>
  <si>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</si>
  <si>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</si>
  <si>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</si>
  <si>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</si>
  <si>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</si>
  <si>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</si>
  <si>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</si>
  <si>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</si>
  <si>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</si>
  <si>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</si>
  <si>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</si>
  <si>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</si>
  <si>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</si>
  <si>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</si>
  <si>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</si>
  <si>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</si>
  <si>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</si>
  <si>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</si>
  <si>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</si>
  <si>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</si>
  <si>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</si>
  <si>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</si>
  <si>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</si>
  <si>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</si>
  <si>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</si>
  <si>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</si>
  <si>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</si>
  <si>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</si>
  <si>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</si>
  <si>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</si>
  <si>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</si>
  <si>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</si>
  <si>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</si>
  <si>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</si>
  <si>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 xml:space="preserve"> 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</si>
  <si>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</si>
  <si>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</si>
  <si>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</si>
  <si>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</si>
  <si>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</si>
  <si>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</si>
  <si>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</si>
  <si>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</si>
  <si>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</si>
  <si>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</si>
  <si>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</si>
  <si>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Porovnání s rokem 2022</t>
  </si>
  <si>
    <t>Skutečnost k 31.12.2022</t>
  </si>
  <si>
    <t>Schválený rozpočet (plán NaV 2023)</t>
  </si>
  <si>
    <t>Skutečnost k 30.6.2023</t>
  </si>
  <si>
    <t>Plán 2024 (návrh rozpočtu organizace)</t>
  </si>
  <si>
    <t>Návrh rozpočtu 2024</t>
  </si>
  <si>
    <t>Chomutovská knihovna, příspěvková organizace</t>
  </si>
  <si>
    <t>00360589</t>
  </si>
  <si>
    <t>Palackého 4995, 430 01 Chomutov</t>
  </si>
  <si>
    <t>Zůstatek k 30.06.</t>
  </si>
  <si>
    <t>Mgr. Bedřich Fryč</t>
  </si>
  <si>
    <t>Ing. Martina Marešová</t>
  </si>
  <si>
    <t>MĚSTSKÉ LESY CHOMUTOV, PŘÍSPĚVKOVÁ ORGANIZACE</t>
  </si>
  <si>
    <t>Hora Svatého Šebestiána 90, 431 82</t>
  </si>
  <si>
    <t>Aktivace oběžného majetku</t>
  </si>
  <si>
    <t>22.</t>
  </si>
  <si>
    <t>Tvorba a zúčtování rezerv</t>
  </si>
  <si>
    <t>24.</t>
  </si>
  <si>
    <t>Stavy fondů</t>
  </si>
  <si>
    <t>Odůvodnění navýšení příspěvku zřizovatele:</t>
  </si>
  <si>
    <t>V součané době nejsou informace o schválených dotačních titulech z Ministerstva zeměděství (Nařízení vlády o finančím příspěvku na hospofaření v lesích), Státního intervenčního fondu (Program rozvoje venkova) a Žívotního prostředí.</t>
  </si>
  <si>
    <t>Došlo k výraznému snížení cen dřevní hmoty (ve všech sortimentech) a to zejména u výkupní ceny vlákniny a sortimentu kulatiny kvality B/C (snížení výkupní ceny o cca 40 - 50% v závisloti na druhu sortimentu)</t>
  </si>
  <si>
    <t>zároveň došlo k navýšení cen u všecho prováděných prací v lesní činnosti a navýšení nákupních cen u sadebního materiálu, chemie, energie, pohonné hmoty, atd.</t>
  </si>
  <si>
    <t>Značný vliv na hospodaření má klimatická změna, ustupující kůrovcová kalamita a extrémní nárůst souší vegetačních stupních 2 až 5 z důvodu extrémního sucha.</t>
  </si>
  <si>
    <t>Dalším kritériem ovlivňujícím negativně hospadaření jsou neúnosné stavy zvěře, které mají vliv na zakládané a založené porosty, jakož i na čerpání dotací.</t>
  </si>
  <si>
    <t>V případě změny ve schávelených dotačních titulech státu a příznivé ceny na trhu s dřevní hmotou bude projednán částečný návrat příspěvku zřizovatele v návaznosti na hospadeření organizace</t>
  </si>
  <si>
    <t xml:space="preserve">Ing. Veronika Purkrábek, ekonom </t>
  </si>
  <si>
    <t>Petr Markes, ředitel</t>
  </si>
  <si>
    <t>Mateřská škola Chomutov, příspěvková organizace</t>
  </si>
  <si>
    <t>Jiráskova 4335, 430 03  Chomutov</t>
  </si>
  <si>
    <t>Na straně výnosů snížen požadavek od zřizovatele související s převodem aktiv, tím dojde u organizace ke snížení částky tvorby odpisů a zároveň nebude odvod zpět do rozpočtu zřizovatele. Z tohoto důvodu byla sníženy i náklady organizace-odpisy tvořeny pouze z účtu 022.</t>
  </si>
  <si>
    <t>Náklady z ostatních dotací sníženy o předpoklad nižší tvorby základního přídělu (ve výši 1% oproti stávajícím 2%).</t>
  </si>
  <si>
    <t>Ing. Jitka Svobodová</t>
  </si>
  <si>
    <t>Bc. Eliška Smetanová</t>
  </si>
  <si>
    <t>Sociální služby Chomutov, příspěvková organizace</t>
  </si>
  <si>
    <t>Písečná 5030, 430 04 Chomutov</t>
  </si>
  <si>
    <t>Rozpočet je sestaven jako vyrovnaný, předpokládané náklady ve výši 159 398 tis. Kč.</t>
  </si>
  <si>
    <t>Plánovaná výše příspěvku zřizovatele je srovnatelná s rokem 2023 a je ve výši 28 004 tis. Kč, a to za předpokladu přiznání dotace na sociální služby (tzv. velký a malý dotační program) ve výši 45 990 tis. Kč. Na provoz dětských skupin je předpokládaná dotace ze zdrojů MPSV ve výši 3 100 tis. Kč. Provoz AD Písečná je v roce 2024 financován z programu POSOSUK 5 (provoz vybraných sociálních služeb).</t>
  </si>
  <si>
    <t>V roce 2024 po předchozím projednání s ÚK bude zaregistrována nová sociální služba - denní stacionář pro osoby s poruchou autistického spektra. Finanční krytí této služby bude zajištěno především z velkého a malého dotačního programu, dále z úhrad klientů a z příspěvku zřizovatele, který je předpokládán ve výši 814 tis. Kč.</t>
  </si>
  <si>
    <t>Od července 2024 předpokládáme zahájení provozu Klubu seniorů a prádelny v nových prostorách v ul. Kostnická. Kompletní rekonstrukce této budovy je plánovaná od ledna 2024 s tím, že v rozpočtu je nárokovaná investiční dotace zřizovatele ve výši 9 200 tis. Kč (rozpočtované náklady na rekonstrukci dle projektové dokumentace).</t>
  </si>
  <si>
    <t>Rovněž je pro vybavení prádelenského provozu podána žádost ESF(schváleno RaMěst 325/23 dne 2. 5. 2023), a to ve výši cca 2 500 tis. Kč.</t>
  </si>
  <si>
    <t>Náklady na provoz organizace jsou navýšeny o 4,12 % oproti roku 2023, kdy se do zvýšení promítá především - provoz nové sociální služby, spuštění  prádelny v ulici Kostnická, zvýšení cen energií  (teplo a voda), zvýšení cen za služby (např. likvidace odpadů), náklady na opravy vnitřních prostor budov a v neposlední řadě jsme zohlednili inflaci obecně.</t>
  </si>
  <si>
    <t xml:space="preserve">Investice: </t>
  </si>
  <si>
    <t xml:space="preserve">1. za nejzásadnější investici v roce 2024 považujeme rekonstrukci objektu v ul. Kostnická 4088. Po komplexní rekonstrukci by budova byla využívána jako klub seniorů, neboť se dlouhodobě chomutovští senioři obracejí na zřizovatele, aby jim byly vyčleněny vhodné a důstojné prostory, ve kterých by se mohli scházet. </t>
  </si>
  <si>
    <t xml:space="preserve">Tlak z jejich strany sílí i s ohledem na dobrou praxi z přilehlých měst, kde vedení měst vyčlenilo pro své seniory odpovídající prostory. V současné době senioři využívají prostory jídelny v DPS Merkur. Tyto prostory nejsou vhodné ani po stránce prostorové, ale ani po stránce hygienické. </t>
  </si>
  <si>
    <t>Naším záměrem je vybudovat ve II. NP budovy Kostnická 4088 kompletní zázemí pro klub seniorů - společenskou místnost, klubovnu, kuchyňku a kancelář.</t>
  </si>
  <si>
    <r>
      <rPr>
        <sz val="11"/>
        <color theme="1"/>
        <rFont val="Calibri"/>
        <family val="2"/>
        <charset val="238"/>
        <scheme val="minor"/>
      </rPr>
      <t xml:space="preserve">V I. NP této budovy uvažujeme s vybudováním prádelenského provozu, který bude sloužit výhradně pro sociální služby. Po navýšení cen energií a vstupů obecně navýšili ceny praní prádla stávající dodavatelé tak, že v současné době jsou naše </t>
    </r>
    <r>
      <rPr>
        <b/>
        <sz val="11"/>
        <color theme="1"/>
        <rFont val="Calibri"/>
        <family val="2"/>
        <charset val="238"/>
        <scheme val="minor"/>
      </rPr>
      <t xml:space="preserve">roční náklady ve výši 3 000 tis. Kč </t>
    </r>
    <r>
      <rPr>
        <sz val="11"/>
        <color theme="1"/>
        <rFont val="Calibri"/>
        <family val="2"/>
        <charset val="238"/>
        <scheme val="minor"/>
      </rPr>
      <t xml:space="preserve">(organizace ročně vypere cca 75 t prádla).   </t>
    </r>
  </si>
  <si>
    <t>Využili jsme vyhlášeného dotačního titulu na úsporu nákladů a podali žádost na financování vybavení prádelenského provozu. Dotaci očekáváme v úrovni cca 2 000 tis. Pokud bychom nebyli v dotačním titulu úspěšní, tak by bylo potřeba toto vybavení kompletně finacovat z rozpočtu zřizovatele.</t>
  </si>
  <si>
    <r>
      <t xml:space="preserve">Jak je výše uvedeno náklady na celkovou rekonstrukci objektu činí </t>
    </r>
    <r>
      <rPr>
        <b/>
        <sz val="11"/>
        <color theme="1"/>
        <rFont val="Calibri"/>
        <family val="2"/>
        <charset val="238"/>
        <scheme val="minor"/>
      </rPr>
      <t>9 200 tis. Kč, což je maximální částka</t>
    </r>
    <r>
      <rPr>
        <sz val="11"/>
        <color theme="1"/>
        <rFont val="Calibri"/>
        <family val="2"/>
        <charset val="238"/>
        <scheme val="minor"/>
      </rPr>
      <t xml:space="preserve">, kterou by zřizovatel musel uvolnit v případě neúspěšného získání dotačních prostředků. </t>
    </r>
  </si>
  <si>
    <t>2. další čerpání investičního fondu organizace souvisí s jejím standardním provozem - jedná se o obnovu vnitřního vybavení stravovacích provozů (konvektomat, multifunkční pánev, chladící skříň), pomůcky potřebné pro klienty s omezenou hybností (koupací vany, zvedáky) a vybudování zahradního altánu pro potřeby dětské skupiny, kdy zahrada není absolutně zastíněná.</t>
  </si>
  <si>
    <r>
      <t>Mzdové náklady jsou plánovány ve výši 82 650 tis. Kč.</t>
    </r>
    <r>
      <rPr>
        <sz val="11"/>
        <color theme="1"/>
        <rFont val="Calibri"/>
        <family val="2"/>
        <charset val="238"/>
        <scheme val="minor"/>
      </rPr>
      <t xml:space="preserve"> Jejich zvýšení souvisí s rozvojem organizace, kdy dojde k navýšení personálu v DS PAS (6 pracovních míst), od července 2024 uvažujeme se zvýšením počtu pracovníků v prádelně Kostnická (3 pracovní místa). </t>
    </r>
  </si>
  <si>
    <t>Zároveň dojde ke snížení úvazků o 4,5 v souvislosti s ukončením udržitelnosti projektu odborného sociálního poradenství a úpravu pracovních pozic ve stravovacím provozu CDS Bezručova, tedy faktické navýšení pracovních míst bude o 1,5..</t>
  </si>
  <si>
    <t>Vlastní výnosy v roce 2024 očekáváme ve výši 75 750 tis. Kč.</t>
  </si>
  <si>
    <t>Zvýšení o 4,8 % oproti roku 2023 je způsobeno zvýšením úhrad za poskytované služby, kdy jsou veškeré úhrady stanoveny na maximu, které umožňuje prováděcí vyhláška k zákonu o sociálních službách. Rovněž se nám podařilo zvýšit úhrady od zdravotních pojišťoven za poskytovanou zdravotní péči o téměř 11,3 %, což meziročně znamená nárůst o 1 100 tis. Kč.</t>
  </si>
  <si>
    <t>Mgr. Ing. Ivana Vomáčková</t>
  </si>
  <si>
    <t>Mgr. Alena Tölgová</t>
  </si>
  <si>
    <t>Středisko volného času Domeček Chomutov, příspěvková organizace</t>
  </si>
  <si>
    <t>Jiráskova 4140, 430 03  Chomutov</t>
  </si>
  <si>
    <t>Pro rok 2024 neočekáváme žádné výrazné změny, a tomu odpovídá i návrh rozpočtu.</t>
  </si>
  <si>
    <t>Vavrušková Blanka</t>
  </si>
  <si>
    <t>Bc. Radoslav Malarik</t>
  </si>
  <si>
    <t>Technické služby města Chomutova, příspěvková organizace</t>
  </si>
  <si>
    <t>náměstí 1. máje 89, 430 01 Chomutov</t>
  </si>
  <si>
    <t>Porovnání s rokem 2023</t>
  </si>
  <si>
    <t>Zůstatek k 30.6.2022</t>
  </si>
  <si>
    <t>Návrh rozpočtu TSmCh na rok 2024 je shodný s návrhem rozpočtu na rok 2023.</t>
  </si>
  <si>
    <t>Příspěvková organizace navrhuje investiční příspěvek zřizovatele ve výši 15.600.000,- Kč na pořízení dvou investic. První investicí je SVOZOVÉ MULTIFUNKČNÍ VOZIDLO a druhou investicí je VOZIDLO MYČKA KONTEJNERŮ.</t>
  </si>
  <si>
    <t>1) úprava plánu rozpočtu o druhé kolo KBČ, celkem 2.800.000,- Kč</t>
  </si>
  <si>
    <t>Ing. Petra Langhammerová</t>
  </si>
  <si>
    <t>Ing. Zbyněk Koblížek</t>
  </si>
  <si>
    <t>Zoopark Chomutov, p.o.</t>
  </si>
  <si>
    <t>Přemyslova 259, 43001 Chomutov</t>
  </si>
  <si>
    <t>HLAVNÍ ČINNOST</t>
  </si>
  <si>
    <t>Organizace při stanovení plánovaných výnosů vycházela z vývoje výsledků výnosů za první pololetí a průběžných výnosů do 8/2023, kdy předpokádá navýšení tržeb o 7% .</t>
  </si>
  <si>
    <t>Žůčtování 403 do výnosů - stanoveno podle plánu rozpuštění transferů pro rok 2024</t>
  </si>
  <si>
    <t>Zapojení fondů - předpoklad čerpání rezervního fondu - použití darů na pokrytí nákladů na krmivo.</t>
  </si>
  <si>
    <t>Ostatní výnosy -  500 tis. úroky, 1000 tis. prodej krmiva, 1500 tis. přefakturace služeb nájemcům.</t>
  </si>
  <si>
    <t>Dotace -  pravidelná dotace 600 tis. na krmivo a dotace na pracovní místa 200 tis, 300 tis. příspěvek na ubytování  (ukrajina), nebo jiné ostatní dotace.</t>
  </si>
  <si>
    <t>Organizace plánuje celkový nárůst výnosů o 4,57%</t>
  </si>
  <si>
    <t>Náklady</t>
  </si>
  <si>
    <t>Náklady na materiál, služby, opravy a energie jsou stanoveny podle vývoje do 8/2023, kdy pro rok 2024 zohledňují pouze inflaci od 2 - 4 %</t>
  </si>
  <si>
    <t>Mzdové náklady - navýšení o 6,19% - navýšení počtu zaměstnanců na HP o 2 plné úvazky , a navýšení u DPP - nutnost zvýšení hodinové sazby za práce poskytované na DPP a DPČ, zejména na KJ.</t>
  </si>
  <si>
    <t xml:space="preserve">V souvislosti se zvýšením nákladů na mzdy se zvyšuje i náklad na pojistné zaměstnanců. </t>
  </si>
  <si>
    <t>Náklady na odpisy byly stanoveny na základě plánu odpisů pro rok 2024, který zahrbuje odpisy plánovaných a dokončených investic</t>
  </si>
  <si>
    <t xml:space="preserve">Ostatní náklady -  600 tis. příděl FKSP, 1000 tis. stravné, 500 tis. pojistné,  650 tis. jiné ostatní náklady </t>
  </si>
  <si>
    <t>DOPLNKOVÁ ČINNOST</t>
  </si>
  <si>
    <t>V doplňkové činnosti organizace plánuje mírné zvýšení výnosů - některé aktivity ukončeny - sportovní aktivity KJ a pronájem (Pratur), naopak evidujeme nárůst tržeb u prodeje suvenýrů.</t>
  </si>
  <si>
    <t>Náklady na energie, materiál a služby stanoveny dle vývoje 1-8/2023 s přihlédnutím k inflaci.</t>
  </si>
  <si>
    <t xml:space="preserve">Mzdové náklady oproti rozpočtu roku 2023 již zahrnují  společné režijní nálkady. (V roce 2023 budou rozpočítány na konci roku.) </t>
  </si>
  <si>
    <t>FONDY</t>
  </si>
  <si>
    <t>Rezerní fond - plánujeme příjem 500 tis. z vybraných darů a použití darů ke krytí nákladů na  spotřebu krmiva ve výši 1500 tis. Kč</t>
  </si>
  <si>
    <t>Fond investic - organizace plánuje v roce 2024 investice ve výši 10 mil. Kč a započetí investičních akcí ve výši více než 40 mil. KČ, Příjmy tvoří plánované odpisy a investiční příspěvek zřizovatele.</t>
  </si>
  <si>
    <t xml:space="preserve">Fond odměn - Vyjma případného přídělu z HV za rok 2023 organizace zatím neplánuje jeho použití. </t>
  </si>
  <si>
    <t>FKSP - příjmem fondu je zákonný příděl a výdaje fondu stravné, vitamíny a jiné zákonné použití.</t>
  </si>
  <si>
    <t>ZÁVĚR</t>
  </si>
  <si>
    <t>ORAGANIZACE NA ROK 2024 PLÁNUJE POKRYTÍ NÁKLADŮ Z VLASTNÍCH ZDROJŮ VE VÝŠI 46,8 %, POŽADAVEK NA PROVOZNÍ DOTACI JE 54 300 000,- Kč, COŽ PŘEDSTAVUJE NAVÝŠENÍ OPROTI ROKU 2023  O 2 700 000,-Kč</t>
  </si>
  <si>
    <t>POŽADAVEK NA INVESTIČNÍ PŘÍSPĚVĚK ČINÍ 10 000 000,-Kč</t>
  </si>
  <si>
    <t>Bc. Lenka Maříková</t>
  </si>
  <si>
    <t>Bc. Věra Fryčová</t>
  </si>
  <si>
    <t>Mgr. Hana Horská</t>
  </si>
  <si>
    <t>Jana Tučková</t>
  </si>
  <si>
    <t>Schválený rozpočet na rok 2023 byl navýšen o transfery - ÚZ 33086 (Doučování), ÚZ 33087 (Digitální UP), ÚZ 33088 (Prevence digitální propasti), ÚZ 33093 (Podpora škol s nadprům. zastoupením soc. znevýh. žáků).</t>
  </si>
  <si>
    <t>Zůstatek k 30.6.</t>
  </si>
  <si>
    <t>Chomutov, 17. listopadu 4728</t>
  </si>
  <si>
    <t>Základní škola a Mateřská škola, Chomutov, 17. listopadu 4728, příspěvková organizace</t>
  </si>
  <si>
    <t>Základní škola speciální a Mateřská škola Chomutov, Palachova 4881, příspěvková organizace</t>
  </si>
  <si>
    <t>Palachova 4881, 430 03 Chomutov</t>
  </si>
  <si>
    <t xml:space="preserve">V roce 2024 plánujeme výměnu podlahové krytiny, starý koberec vyměnit a zakoupit lino v dlouhé spojovací chodbě mezi mateřskou školkou a speciální základní školou.Dále plánujeme nutně vyměnit podlahové krytiny ve třídách v mateřské škole. Zakoupit nové vybavení do center aktivit. </t>
  </si>
  <si>
    <t>V návrhu na rok 2024 je zakomponován plánovaný ERASMUS ve výši 533 800,- Kč.</t>
  </si>
  <si>
    <t>Šestáková Irena</t>
  </si>
  <si>
    <t>Mgr. Sejnová Jana, ředitelka školy</t>
  </si>
  <si>
    <t>Základní škola Chomutov, Akademika Heyrovského 4539</t>
  </si>
  <si>
    <t>Chomutov, Akademika Heyrovského 4539</t>
  </si>
  <si>
    <t>Schválený rozpočet se oproti původnímu schválenému zvýšil o dotaci OP JAK a drobnou úpravou rozpočtu na mzdy KÚ ÚK.</t>
  </si>
  <si>
    <t>Alena Bažantová</t>
  </si>
  <si>
    <t>Mgr. Miloš Zelenka</t>
  </si>
  <si>
    <t>Základní škola Chomutov, Březenecká 4679</t>
  </si>
  <si>
    <t>Březenecká 4679, Chomutov 43004</t>
  </si>
  <si>
    <t>Plán 2024 schválený 6.10.2023</t>
  </si>
  <si>
    <r>
      <t xml:space="preserve">NÁKLADY </t>
    </r>
    <r>
      <rPr>
        <sz val="11"/>
        <rFont val="Calibri"/>
        <family val="2"/>
        <charset val="238"/>
        <scheme val="minor"/>
      </rPr>
      <t>(hrazené)</t>
    </r>
  </si>
  <si>
    <t>k 30.6.</t>
  </si>
  <si>
    <t xml:space="preserve">rozpočet na rok 2023 vychází z rozpočtu roku 2023 vč. výš UZ (bez 705) kdy v některých hlavních položkách (zejména nákladů materiálu, služeb a ostatních )došlo k navýšení dle přihlédnutí ke skutečnosti čerpání. Dále bylo zohledněno přesunutí nákladů stočného a srážkovného do služeb účtovaných původně do energií. </t>
  </si>
  <si>
    <t xml:space="preserve">ostatní transfery, hlavní činnost a doplňková činost počítá s hodnotami kvalifikovaného odhadu ze znáných skutečností k datu vyhotovení </t>
  </si>
  <si>
    <t>navýšení nákladových položek rozpočtu v roce 2024 jednotlivě  :</t>
  </si>
  <si>
    <t>551 - odpisy - navýšení oproti rozpočtu 2023 o investice v roce 2023 o kterých nebylo předem plánováno,  plánovaná koupě zahradní traktorové sekačky v odhadu cca 150 tis. Kč</t>
  </si>
  <si>
    <t>502 - v provozním příspěvku je počítáno se snížením o přesun odhadnutého srážkovného a stočného do služeb a o inflační  navýšení spotřeby energií podle skutečné spotřeby z roku 2022 a průběhu roku 2023</t>
  </si>
  <si>
    <t>účelový příspěvek zřizovatele vychází z hodnot UZ pro rok 2023 bez UZ 705</t>
  </si>
  <si>
    <t xml:space="preserve">základní  nákladové účty jsou cca navýšeny v rozmezí 5-10 % podle kvalifikovaného odhadu z porovnání vývoje roku 2022 až 6/2023 </t>
  </si>
  <si>
    <t>Bc. Michaela Adamová</t>
  </si>
  <si>
    <t>Ing. Vladimíra Nováková</t>
  </si>
  <si>
    <t>Mgr. Ivana Dudková</t>
  </si>
  <si>
    <t>Ing. Črepová Martina</t>
  </si>
  <si>
    <t>Schválený rozpočet se oproti původnímu schválenému zvýšil o provozní příspěvek zřizovatele ( vyšší odvod do rozpočtu zřizovatele z odpisů vzhledem ke zhodnocení budovy - rekonstrukce bazénu ) a účelový příspěvek ( poskytnutá dotace na Podporu akcí a aktivit environmentálního vzdělávání, výchovy a osvěty 2023 ) a drobnou úpravou rozpočtu na mzdy KÚ ÚK.</t>
  </si>
  <si>
    <t>Hornická 4387, Chomutov 43003</t>
  </si>
  <si>
    <t>Základní škola Chomutov, Hornická 4387</t>
  </si>
  <si>
    <t>Základní škola Chomutov, Kadaňská 2334</t>
  </si>
  <si>
    <t>Kadaňská 2334, 430 03 Chomutov</t>
  </si>
  <si>
    <t>Ostatní náklady (512,513,558,549,569,506,525,527,591)</t>
  </si>
  <si>
    <t>Bc. Jana Janouškovcová Tesařová</t>
  </si>
  <si>
    <t>Mgr. Ilona Záhálková</t>
  </si>
  <si>
    <t>Základní škola Chomutov, Na Příkopech 895</t>
  </si>
  <si>
    <t>Na Příkopech 895,430 01 Chomutov</t>
  </si>
  <si>
    <t>Rezervní fond ze zlepšeného HV</t>
  </si>
  <si>
    <t>Rezervní fond-nespotřebované projekty</t>
  </si>
  <si>
    <t>rozpočet na rok 2024 je navýšen o 10% v oblasti služeb, materiálu a údržby.</t>
  </si>
  <si>
    <t>V ostatních transferech jsou zahrnuty krajské dotace na mzdy, digitalizaci, OP JAK a dotaci NPO</t>
  </si>
  <si>
    <t>Moravcová Marcela</t>
  </si>
  <si>
    <t>Hons Miloslav</t>
  </si>
  <si>
    <t>Návrh rozpočtu 2024 - úprava k 6.10.2023</t>
  </si>
  <si>
    <t>Základní škola Chomutov, Písečná 5144</t>
  </si>
  <si>
    <t>Písečná 5144, 430 04 Chomutov</t>
  </si>
  <si>
    <t>Příděl k 30.6.</t>
  </si>
  <si>
    <t>Čerpání k 30.6.</t>
  </si>
  <si>
    <t xml:space="preserve">Návrh rozpočtu na rok 2024 vychází ze stejné výše v jaké byl provozní příspěvek zřizovatele schválen pro rok 2023. S ohledem na probíhající rekonstrukci kuchyně a s ní spojenou nutnost vynaložit další výdaje z provozu v příštím roce, byly navýšeny náklady na opravy a udržování. Dále bylo nutno navýšit předpokládané mzdové výdaje - nutnost navýšení hodinové sazby pro zaměstance pracující na dohodu </t>
  </si>
  <si>
    <t xml:space="preserve">o provedení práce související s údržbou školou spravovaného hřiště. </t>
  </si>
  <si>
    <t>Kebrlová Jana</t>
  </si>
  <si>
    <t>Mgr.Miroslav Žalud</t>
  </si>
  <si>
    <t>Základní škola Chomutov, Školní 1480</t>
  </si>
  <si>
    <t>Školní 1480/61, Chomutov, 430 01</t>
  </si>
  <si>
    <t>1. tvorba FKSP - předpoklad v roce 2024 - 1%.</t>
  </si>
  <si>
    <t>2. navýšení spotřeby ve službách (v letošním roce nárůst cen u likvidace odpadu, PCOO, stočné a srážkovné)</t>
  </si>
  <si>
    <t xml:space="preserve">3. vlastní činnost - ostatní výnosy: zahrnuty bankovní úroky - využití v hlavní činnosti organizace </t>
  </si>
  <si>
    <t xml:space="preserve">Edita Drexlerová </t>
  </si>
  <si>
    <t xml:space="preserve">Mgr. Vlasta Marková </t>
  </si>
  <si>
    <t xml:space="preserve">Návrh rozpočtu 2024 </t>
  </si>
  <si>
    <t>Základní škola Chomutov, Zahradní 5265</t>
  </si>
  <si>
    <t>Chomutov, Zahradní 5265</t>
  </si>
  <si>
    <t>stav k 30.06.</t>
  </si>
  <si>
    <t>Věra Čmejrková</t>
  </si>
  <si>
    <t>Mgr. Libuše Slavíková</t>
  </si>
  <si>
    <t>Základní umělecká škola T. G. Masaryka Chomutov</t>
  </si>
  <si>
    <t>Náměstí T. G. Masaryka 1626, 43001 Chomutov</t>
  </si>
  <si>
    <t>Návrh rozpočtu a požadavek na provozní příspěvek na rok 2024 ponecháváme ve stejné výši jako v roce 2023.</t>
  </si>
  <si>
    <t>Zatímní informace o počtu žáků školního roku 2023/2024 nevykzuje sestupnou tendenci, tedy výběr školného by měl být na plánované úrovni.</t>
  </si>
  <si>
    <t>Rozpočet byl pouze upraven vnitropoložkově.</t>
  </si>
  <si>
    <t>Výše dotace ze SR bude známa až na začátku roku 2024.</t>
  </si>
  <si>
    <t>Mgr. Karel Žižka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</si>
</sst>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_ ;[Red]\-#,##0.0\ "/>
    <numFmt numFmtId="167" formatCode="#,##0.00_ ;[Red]\-#,##0.00\ "/>
    <numFmt numFmtId="168" formatCode="0.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DBDB"/>
        <bgColor rgb="FFD9D9D9"/>
      </patternFill>
    </fill>
    <fill>
      <patternFill patternType="solid">
        <fgColor rgb="FF92D050"/>
        <bgColor rgb="FF969696"/>
      </patternFill>
    </fill>
    <fill>
      <patternFill patternType="solid">
        <fgColor rgb="FFFBE5D6"/>
        <bgColor rgb="FFE7E6E6"/>
      </patternFill>
    </fill>
    <fill>
      <patternFill patternType="solid">
        <fgColor rgb="FFFFEB9C"/>
      </patternFill>
    </fill>
    <fill>
      <patternFill patternType="solid">
        <fgColor rgb="FFCCCC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22" fillId="18" borderId="0" applyNumberFormat="0" applyBorder="0" applyAlignment="0" applyProtection="0"/>
  </cellStyleXfs>
  <cellXfs count="922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5" borderId="51" xfId="0" applyNumberFormat="1" applyFont="1" applyFill="1" applyBorder="1" applyAlignment="1" applyProtection="1">
      <alignment horizontal="right"/>
    </xf>
    <xf numFmtId="164" fontId="0" fillId="15" borderId="9" xfId="0" applyNumberFormat="1" applyFont="1" applyFill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  <protection locked="0"/>
    </xf>
    <xf numFmtId="164" fontId="0" fillId="16" borderId="49" xfId="0" applyNumberFormat="1" applyFont="1" applyFill="1" applyBorder="1" applyAlignment="1" applyProtection="1">
      <alignment horizontal="right"/>
      <protection locked="0"/>
    </xf>
    <xf numFmtId="164" fontId="0" fillId="15" borderId="1" xfId="0" applyNumberFormat="1" applyFont="1" applyFill="1" applyBorder="1" applyAlignment="1" applyProtection="1">
      <alignment horizontal="right"/>
    </xf>
    <xf numFmtId="164" fontId="20" fillId="17" borderId="49" xfId="0" applyNumberFormat="1" applyFont="1" applyFill="1" applyBorder="1" applyAlignment="1" applyProtection="1">
      <alignment horizontal="right"/>
      <protection locked="0"/>
    </xf>
    <xf numFmtId="164" fontId="20" fillId="15" borderId="1" xfId="0" applyNumberFormat="1" applyFont="1" applyFill="1" applyBorder="1" applyAlignment="1" applyProtection="1">
      <alignment horizontal="right"/>
    </xf>
    <xf numFmtId="164" fontId="0" fillId="15" borderId="49" xfId="0" applyNumberFormat="1" applyFont="1" applyFill="1" applyBorder="1" applyAlignment="1" applyProtection="1">
      <alignment horizontal="right"/>
    </xf>
    <xf numFmtId="164" fontId="20" fillId="0" borderId="1" xfId="0" applyNumberFormat="1" applyFont="1" applyBorder="1" applyAlignment="1" applyProtection="1">
      <alignment horizontal="right"/>
      <protection locked="0"/>
    </xf>
    <xf numFmtId="164" fontId="20" fillId="15" borderId="49" xfId="0" applyNumberFormat="1" applyFont="1" applyFill="1" applyBorder="1" applyAlignment="1" applyProtection="1">
      <alignment horizontal="right"/>
    </xf>
    <xf numFmtId="164" fontId="0" fillId="15" borderId="11" xfId="0" applyNumberFormat="1" applyFont="1" applyFill="1" applyBorder="1" applyAlignment="1" applyProtection="1">
      <alignment horizontal="right"/>
    </xf>
    <xf numFmtId="164" fontId="0" fillId="15" borderId="44" xfId="0" applyNumberFormat="1" applyFont="1" applyFill="1" applyBorder="1" applyAlignment="1" applyProtection="1">
      <alignment horizontal="right"/>
    </xf>
    <xf numFmtId="4" fontId="0" fillId="0" borderId="49" xfId="0" applyNumberFormat="1" applyFont="1" applyBorder="1" applyProtection="1">
      <protection locked="0"/>
    </xf>
    <xf numFmtId="164" fontId="0" fillId="0" borderId="40" xfId="0" applyNumberFormat="1" applyFont="1" applyFill="1" applyBorder="1" applyProtection="1">
      <protection locked="0"/>
    </xf>
    <xf numFmtId="164" fontId="0" fillId="0" borderId="2" xfId="0" applyNumberFormat="1" applyBorder="1"/>
    <xf numFmtId="164" fontId="7" fillId="0" borderId="2" xfId="0" applyNumberFormat="1" applyFont="1" applyBorder="1"/>
    <xf numFmtId="49" fontId="1" fillId="0" borderId="0" xfId="0" applyNumberFormat="1" applyFont="1" applyFill="1" applyAlignment="1" applyProtection="1">
      <alignment horizontal="left"/>
      <protection locked="0"/>
    </xf>
    <xf numFmtId="164" fontId="0" fillId="0" borderId="1" xfId="0" applyNumberFormat="1" applyFont="1" applyBorder="1"/>
    <xf numFmtId="164" fontId="0" fillId="0" borderId="1" xfId="0" applyNumberFormat="1" applyFont="1" applyFill="1" applyBorder="1" applyAlignment="1" applyProtection="1">
      <alignment horizontal="right"/>
      <protection locked="0"/>
    </xf>
    <xf numFmtId="164" fontId="8" fillId="0" borderId="1" xfId="0" applyNumberFormat="1" applyFont="1" applyFill="1" applyBorder="1" applyAlignment="1" applyProtection="1">
      <alignment horizontal="right"/>
      <protection locked="0"/>
    </xf>
    <xf numFmtId="164" fontId="21" fillId="0" borderId="1" xfId="0" applyNumberFormat="1" applyFont="1" applyBorder="1" applyProtection="1"/>
    <xf numFmtId="164" fontId="21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1" fillId="13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10" fontId="0" fillId="8" borderId="0" xfId="0" applyNumberFormat="1" applyFill="1"/>
    <xf numFmtId="0" fontId="3" fillId="8" borderId="0" xfId="0" applyFont="1" applyFill="1"/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8" borderId="0" xfId="0" applyFont="1" applyFill="1"/>
    <xf numFmtId="0" fontId="0" fillId="0" borderId="0" xfId="0" applyAlignment="1" applyProtection="1">
      <alignment horizontal="left"/>
      <protection locked="0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0" fontId="1" fillId="0" borderId="30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11" borderId="51" xfId="0" applyNumberFormat="1" applyFill="1" applyBorder="1" applyAlignment="1">
      <alignment horizontal="right"/>
    </xf>
    <xf numFmtId="164" fontId="0" fillId="11" borderId="9" xfId="0" applyNumberFormat="1" applyFill="1" applyBorder="1" applyAlignment="1">
      <alignment horizontal="right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>
      <alignment horizontal="right"/>
    </xf>
    <xf numFmtId="10" fontId="7" fillId="0" borderId="23" xfId="0" applyNumberFormat="1" applyFont="1" applyBorder="1"/>
    <xf numFmtId="0" fontId="0" fillId="0" borderId="49" xfId="0" applyBorder="1" applyAlignment="1">
      <alignment horizontal="center"/>
    </xf>
    <xf numFmtId="0" fontId="0" fillId="10" borderId="50" xfId="0" applyFill="1" applyBorder="1"/>
    <xf numFmtId="164" fontId="0" fillId="10" borderId="49" xfId="0" applyNumberFormat="1" applyFill="1" applyBorder="1" applyAlignment="1" applyProtection="1">
      <alignment horizontal="right"/>
      <protection locked="0"/>
    </xf>
    <xf numFmtId="164" fontId="0" fillId="11" borderId="1" xfId="0" applyNumberFormat="1" applyFill="1" applyBorder="1" applyAlignment="1">
      <alignment horizontal="right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7" fillId="5" borderId="50" xfId="0" applyFont="1" applyFill="1" applyBorder="1"/>
    <xf numFmtId="164" fontId="6" fillId="11" borderId="1" xfId="0" applyNumberFormat="1" applyFont="1" applyFill="1" applyBorder="1" applyAlignment="1">
      <alignment horizontal="right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7" fillId="0" borderId="50" xfId="0" applyFont="1" applyBorder="1" applyAlignment="1">
      <alignment horizontal="left"/>
    </xf>
    <xf numFmtId="164" fontId="0" fillId="11" borderId="49" xfId="0" applyNumberFormat="1" applyFill="1" applyBorder="1" applyAlignment="1">
      <alignment horizontal="right"/>
    </xf>
    <xf numFmtId="0" fontId="7" fillId="0" borderId="50" xfId="0" applyFont="1" applyBorder="1"/>
    <xf numFmtId="164" fontId="6" fillId="11" borderId="49" xfId="0" applyNumberFormat="1" applyFont="1" applyFill="1" applyBorder="1" applyAlignment="1">
      <alignment horizontal="right"/>
    </xf>
    <xf numFmtId="0" fontId="4" fillId="0" borderId="50" xfId="0" applyFont="1" applyBorder="1"/>
    <xf numFmtId="164" fontId="0" fillId="0" borderId="1" xfId="0" applyNumberFormat="1" applyBorder="1" applyAlignment="1" applyProtection="1">
      <alignment horizontal="right"/>
      <protection locked="0"/>
    </xf>
    <xf numFmtId="0" fontId="0" fillId="0" borderId="50" xfId="0" applyBorder="1"/>
    <xf numFmtId="164" fontId="0" fillId="0" borderId="15" xfId="0" applyNumberFormat="1" applyBorder="1" applyAlignment="1" applyProtection="1">
      <alignment horizontal="right"/>
      <protection locked="0"/>
    </xf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left" indent="5"/>
    </xf>
    <xf numFmtId="164" fontId="0" fillId="11" borderId="11" xfId="0" applyNumberFormat="1" applyFill="1" applyBorder="1" applyAlignment="1">
      <alignment horizontal="right"/>
    </xf>
    <xf numFmtId="164" fontId="0" fillId="11" borderId="44" xfId="0" applyNumberFormat="1" applyFill="1" applyBorder="1" applyAlignment="1">
      <alignment horizontal="right"/>
    </xf>
    <xf numFmtId="164" fontId="0" fillId="0" borderId="44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14" xfId="0" applyNumberFormat="1" applyBorder="1" applyAlignment="1">
      <alignment horizontal="right"/>
    </xf>
    <xf numFmtId="10" fontId="7" fillId="0" borderId="14" xfId="0" applyNumberFormat="1" applyFont="1" applyBorder="1"/>
    <xf numFmtId="0" fontId="1" fillId="0" borderId="3" xfId="0" applyFont="1" applyBorder="1" applyAlignment="1">
      <alignment horizontal="center"/>
    </xf>
    <xf numFmtId="0" fontId="1" fillId="3" borderId="59" xfId="0" applyFont="1" applyFill="1" applyBorder="1"/>
    <xf numFmtId="164" fontId="1" fillId="3" borderId="25" xfId="0" applyNumberFormat="1" applyFont="1" applyFill="1" applyBorder="1" applyAlignment="1">
      <alignment horizontal="right"/>
    </xf>
    <xf numFmtId="164" fontId="1" fillId="3" borderId="26" xfId="0" applyNumberFormat="1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right"/>
    </xf>
    <xf numFmtId="164" fontId="1" fillId="3" borderId="30" xfId="0" applyNumberFormat="1" applyFont="1" applyFill="1" applyBorder="1" applyAlignment="1">
      <alignment horizontal="right"/>
    </xf>
    <xf numFmtId="10" fontId="7" fillId="3" borderId="3" xfId="0" applyNumberFormat="1" applyFont="1" applyFill="1" applyBorder="1"/>
    <xf numFmtId="0" fontId="0" fillId="14" borderId="58" xfId="0" applyFill="1" applyBorder="1" applyAlignment="1">
      <alignment horizontal="center"/>
    </xf>
    <xf numFmtId="0" fontId="1" fillId="14" borderId="59" xfId="0" applyFont="1" applyFill="1" applyBorder="1"/>
    <xf numFmtId="164" fontId="8" fillId="5" borderId="41" xfId="0" applyNumberFormat="1" applyFont="1" applyFill="1" applyBorder="1" applyAlignment="1">
      <alignment horizontal="center"/>
    </xf>
    <xf numFmtId="164" fontId="8" fillId="5" borderId="42" xfId="0" applyNumberFormat="1" applyFont="1" applyFill="1" applyBorder="1" applyAlignment="1">
      <alignment horizontal="center"/>
    </xf>
    <xf numFmtId="164" fontId="8" fillId="5" borderId="59" xfId="0" applyNumberFormat="1" applyFont="1" applyFill="1" applyBorder="1" applyAlignment="1">
      <alignment horizontal="center"/>
    </xf>
    <xf numFmtId="164" fontId="8" fillId="5" borderId="53" xfId="0" applyNumberFormat="1" applyFont="1" applyFill="1" applyBorder="1" applyAlignment="1">
      <alignment horizontal="center"/>
    </xf>
    <xf numFmtId="10" fontId="15" fillId="0" borderId="3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wrapText="1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2" fillId="0" borderId="3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10" fontId="15" fillId="0" borderId="21" xfId="0" applyNumberFormat="1" applyFont="1" applyBorder="1" applyAlignment="1">
      <alignment horizontal="center" vertical="center" wrapText="1"/>
    </xf>
    <xf numFmtId="164" fontId="0" fillId="0" borderId="7" xfId="0" applyNumberFormat="1" applyBorder="1" applyProtection="1">
      <protection locked="0"/>
    </xf>
    <xf numFmtId="164" fontId="0" fillId="0" borderId="55" xfId="0" applyNumberFormat="1" applyBorder="1" applyProtection="1">
      <protection locked="0"/>
    </xf>
    <xf numFmtId="164" fontId="0" fillId="0" borderId="13" xfId="0" applyNumberFormat="1" applyBorder="1" applyAlignment="1">
      <alignment horizontal="right"/>
    </xf>
    <xf numFmtId="164" fontId="0" fillId="0" borderId="4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4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0" fillId="0" borderId="51" xfId="0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49" xfId="0" applyBorder="1" applyProtection="1">
      <protection locked="0"/>
    </xf>
    <xf numFmtId="0" fontId="22" fillId="0" borderId="49" xfId="3" applyFill="1" applyBorder="1" applyProtection="1">
      <protection locked="0"/>
    </xf>
    <xf numFmtId="164" fontId="22" fillId="0" borderId="2" xfId="3" applyNumberFormat="1" applyFill="1" applyBorder="1" applyProtection="1">
      <protection locked="0"/>
    </xf>
    <xf numFmtId="0" fontId="7" fillId="0" borderId="50" xfId="0" applyFont="1" applyBorder="1" applyAlignment="1">
      <alignment horizontal="left" indent="5"/>
    </xf>
    <xf numFmtId="0" fontId="0" fillId="0" borderId="46" xfId="0" applyBorder="1"/>
    <xf numFmtId="164" fontId="0" fillId="0" borderId="40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0" fontId="1" fillId="5" borderId="41" xfId="0" applyFont="1" applyFill="1" applyBorder="1"/>
    <xf numFmtId="164" fontId="1" fillId="5" borderId="34" xfId="0" applyNumberFormat="1" applyFont="1" applyFill="1" applyBorder="1"/>
    <xf numFmtId="164" fontId="0" fillId="5" borderId="55" xfId="0" applyNumberFormat="1" applyFill="1" applyBorder="1" applyProtection="1">
      <protection locked="0"/>
    </xf>
    <xf numFmtId="164" fontId="1" fillId="5" borderId="56" xfId="0" applyNumberFormat="1" applyFont="1" applyFill="1" applyBorder="1"/>
    <xf numFmtId="164" fontId="1" fillId="5" borderId="3" xfId="0" applyNumberFormat="1" applyFont="1" applyFill="1" applyBorder="1"/>
    <xf numFmtId="10" fontId="7" fillId="5" borderId="3" xfId="0" applyNumberFormat="1" applyFont="1" applyFill="1" applyBorder="1"/>
    <xf numFmtId="0" fontId="16" fillId="0" borderId="38" xfId="0" applyFont="1" applyBorder="1" applyAlignment="1">
      <alignment horizontal="center"/>
    </xf>
    <xf numFmtId="0" fontId="16" fillId="6" borderId="38" xfId="0" applyFont="1" applyFill="1" applyBorder="1" applyAlignment="1">
      <alignment horizontal="left"/>
    </xf>
    <xf numFmtId="165" fontId="16" fillId="6" borderId="38" xfId="0" applyNumberFormat="1" applyFont="1" applyFill="1" applyBorder="1"/>
    <xf numFmtId="165" fontId="17" fillId="9" borderId="38" xfId="0" applyNumberFormat="1" applyFont="1" applyFill="1" applyBorder="1"/>
    <xf numFmtId="165" fontId="17" fillId="9" borderId="30" xfId="0" applyNumberFormat="1" applyFont="1" applyFill="1" applyBorder="1"/>
    <xf numFmtId="10" fontId="19" fillId="9" borderId="23" xfId="0" applyNumberFormat="1" applyFont="1" applyFill="1" applyBorder="1"/>
    <xf numFmtId="0" fontId="2" fillId="0" borderId="41" xfId="0" applyFont="1" applyBorder="1" applyAlignment="1">
      <alignment horizontal="center"/>
    </xf>
    <xf numFmtId="0" fontId="2" fillId="0" borderId="41" xfId="0" applyFont="1" applyBorder="1"/>
    <xf numFmtId="164" fontId="5" fillId="14" borderId="34" xfId="0" applyNumberFormat="1" applyFont="1" applyFill="1" applyBorder="1" applyAlignment="1">
      <alignment horizontal="center"/>
    </xf>
    <xf numFmtId="164" fontId="5" fillId="14" borderId="18" xfId="0" applyNumberFormat="1" applyFont="1" applyFill="1" applyBorder="1"/>
    <xf numFmtId="0" fontId="2" fillId="14" borderId="18" xfId="0" applyFont="1" applyFill="1" applyBorder="1"/>
    <xf numFmtId="164" fontId="5" fillId="14" borderId="35" xfId="0" applyNumberFormat="1" applyFont="1" applyFill="1" applyBorder="1"/>
    <xf numFmtId="165" fontId="2" fillId="7" borderId="3" xfId="0" applyNumberFormat="1" applyFont="1" applyFill="1" applyBorder="1"/>
    <xf numFmtId="164" fontId="5" fillId="14" borderId="19" xfId="0" applyNumberFormat="1" applyFont="1" applyFill="1" applyBorder="1"/>
    <xf numFmtId="0" fontId="0" fillId="8" borderId="0" xfId="0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/>
    <xf numFmtId="0" fontId="1" fillId="12" borderId="58" xfId="0" applyFont="1" applyFill="1" applyBorder="1" applyAlignment="1">
      <alignment horizontal="left" vertical="center"/>
    </xf>
    <xf numFmtId="164" fontId="1" fillId="14" borderId="18" xfId="0" applyNumberFormat="1" applyFont="1" applyFill="1" applyBorder="1"/>
    <xf numFmtId="164" fontId="1" fillId="14" borderId="19" xfId="0" applyNumberFormat="1" applyFont="1" applyFill="1" applyBorder="1"/>
    <xf numFmtId="164" fontId="5" fillId="8" borderId="0" xfId="0" applyNumberFormat="1" applyFont="1" applyFill="1" applyAlignment="1">
      <alignment horizontal="right"/>
    </xf>
    <xf numFmtId="0" fontId="1" fillId="12" borderId="47" xfId="0" applyFont="1" applyFill="1" applyBorder="1" applyAlignment="1">
      <alignment horizontal="left" vertical="center"/>
    </xf>
    <xf numFmtId="164" fontId="1" fillId="0" borderId="31" xfId="0" applyNumberFormat="1" applyFont="1" applyBorder="1" applyProtection="1">
      <protection locked="0"/>
    </xf>
    <xf numFmtId="164" fontId="1" fillId="0" borderId="32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164" fontId="1" fillId="8" borderId="0" xfId="0" applyNumberFormat="1" applyFont="1" applyFill="1" applyProtection="1">
      <protection locked="0"/>
    </xf>
    <xf numFmtId="164" fontId="13" fillId="14" borderId="19" xfId="0" applyNumberFormat="1" applyFont="1" applyFill="1" applyBorder="1" applyAlignment="1">
      <alignment horizontal="center" wrapText="1"/>
    </xf>
    <xf numFmtId="164" fontId="13" fillId="8" borderId="0" xfId="0" applyNumberFormat="1" applyFont="1" applyFill="1" applyAlignment="1">
      <alignment horizontal="center" vertical="center" wrapText="1"/>
    </xf>
    <xf numFmtId="0" fontId="1" fillId="8" borderId="0" xfId="0" applyFont="1" applyFill="1" applyAlignment="1">
      <alignment horizontal="center"/>
    </xf>
    <xf numFmtId="0" fontId="1" fillId="12" borderId="21" xfId="0" applyFont="1" applyFill="1" applyBorder="1" applyAlignment="1">
      <alignment horizontal="left" vertical="center"/>
    </xf>
    <xf numFmtId="164" fontId="1" fillId="0" borderId="48" xfId="0" applyNumberFormat="1" applyFont="1" applyBorder="1" applyProtection="1">
      <protection locked="0"/>
    </xf>
    <xf numFmtId="164" fontId="1" fillId="8" borderId="0" xfId="0" applyNumberFormat="1" applyFont="1" applyFill="1" applyAlignment="1" applyProtection="1">
      <alignment horizontal="right"/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0" fontId="8" fillId="0" borderId="1" xfId="0" applyFont="1" applyBorder="1"/>
    <xf numFmtId="164" fontId="1" fillId="0" borderId="1" xfId="0" applyNumberFormat="1" applyFont="1" applyBorder="1" applyProtection="1">
      <protection locked="0"/>
    </xf>
    <xf numFmtId="0" fontId="1" fillId="12" borderId="12" xfId="0" applyFont="1" applyFill="1" applyBorder="1" applyAlignment="1">
      <alignment horizontal="left"/>
    </xf>
    <xf numFmtId="0" fontId="1" fillId="12" borderId="39" xfId="0" applyFont="1" applyFill="1" applyBorder="1" applyAlignment="1">
      <alignment horizontal="left"/>
    </xf>
    <xf numFmtId="164" fontId="1" fillId="0" borderId="39" xfId="0" applyNumberFormat="1" applyFont="1" applyBorder="1" applyAlignment="1" applyProtection="1">
      <alignment horizontal="left"/>
      <protection locked="0"/>
    </xf>
    <xf numFmtId="0" fontId="0" fillId="0" borderId="39" xfId="0" applyBorder="1"/>
    <xf numFmtId="0" fontId="0" fillId="0" borderId="40" xfId="0" applyBorder="1"/>
    <xf numFmtId="0" fontId="1" fillId="0" borderId="8" xfId="0" applyFont="1" applyBorder="1"/>
    <xf numFmtId="0" fontId="0" fillId="0" borderId="52" xfId="0" applyBorder="1"/>
    <xf numFmtId="0" fontId="0" fillId="0" borderId="36" xfId="0" applyBorder="1"/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1" fillId="0" borderId="22" xfId="2" applyFont="1" applyBorder="1"/>
    <xf numFmtId="0" fontId="11" fillId="0" borderId="0" xfId="2" applyFont="1"/>
    <xf numFmtId="0" fontId="11" fillId="0" borderId="0" xfId="0" applyFont="1"/>
    <xf numFmtId="0" fontId="11" fillId="0" borderId="8" xfId="2" applyFont="1" applyBorder="1"/>
    <xf numFmtId="0" fontId="11" fillId="0" borderId="52" xfId="0" applyFont="1" applyBorder="1"/>
    <xf numFmtId="0" fontId="11" fillId="0" borderId="52" xfId="2" applyFont="1" applyBorder="1"/>
    <xf numFmtId="0" fontId="1" fillId="0" borderId="52" xfId="0" applyFont="1" applyBorder="1" applyAlignment="1" applyProtection="1">
      <alignment horizontal="left"/>
      <protection locked="0"/>
    </xf>
    <xf numFmtId="0" fontId="0" fillId="0" borderId="10" xfId="0" applyBorder="1"/>
    <xf numFmtId="0" fontId="11" fillId="8" borderId="0" xfId="2" applyFont="1" applyFill="1"/>
    <xf numFmtId="0" fontId="11" fillId="8" borderId="0" xfId="0" applyFont="1" applyFill="1"/>
    <xf numFmtId="0" fontId="1" fillId="8" borderId="0" xfId="0" applyFont="1" applyFill="1" applyAlignment="1" applyProtection="1">
      <alignment horizontal="left"/>
      <protection locked="0"/>
    </xf>
    <xf numFmtId="0" fontId="1" fillId="8" borderId="0" xfId="0" applyFont="1" applyFill="1" applyAlignment="1">
      <alignment horizontal="left"/>
    </xf>
    <xf numFmtId="14" fontId="1" fillId="13" borderId="0" xfId="0" applyNumberFormat="1" applyFont="1" applyFill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10" fontId="0" fillId="0" borderId="0" xfId="0" applyNumberFormat="1"/>
    <xf numFmtId="0" fontId="1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67" fontId="0" fillId="11" borderId="51" xfId="0" applyNumberFormat="1" applyFont="1" applyFill="1" applyBorder="1" applyAlignment="1" applyProtection="1">
      <alignment horizontal="right"/>
    </xf>
    <xf numFmtId="167" fontId="0" fillId="11" borderId="9" xfId="0" applyNumberFormat="1" applyFont="1" applyFill="1" applyBorder="1" applyAlignment="1" applyProtection="1">
      <alignment horizontal="right"/>
    </xf>
    <xf numFmtId="167" fontId="0" fillId="0" borderId="9" xfId="0" applyNumberFormat="1" applyFont="1" applyFill="1" applyBorder="1" applyAlignment="1" applyProtection="1">
      <alignment horizontal="right"/>
      <protection locked="0"/>
    </xf>
    <xf numFmtId="167" fontId="0" fillId="0" borderId="8" xfId="0" applyNumberFormat="1" applyFont="1" applyFill="1" applyBorder="1" applyAlignment="1" applyProtection="1">
      <alignment horizontal="right"/>
      <protection locked="0"/>
    </xf>
    <xf numFmtId="167" fontId="0" fillId="0" borderId="23" xfId="0" applyNumberFormat="1" applyFont="1" applyFill="1" applyBorder="1" applyAlignment="1" applyProtection="1">
      <alignment horizontal="right"/>
      <protection locked="0"/>
    </xf>
    <xf numFmtId="167" fontId="0" fillId="0" borderId="23" xfId="0" applyNumberFormat="1" applyFont="1" applyFill="1" applyBorder="1" applyAlignment="1" applyProtection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7" fontId="0" fillId="10" borderId="49" xfId="0" applyNumberFormat="1" applyFont="1" applyFill="1" applyBorder="1" applyAlignment="1" applyProtection="1">
      <alignment horizontal="right"/>
      <protection locked="0"/>
    </xf>
    <xf numFmtId="167" fontId="0" fillId="11" borderId="1" xfId="0" applyNumberFormat="1" applyFont="1" applyFill="1" applyBorder="1" applyAlignment="1" applyProtection="1">
      <alignment horizontal="right"/>
    </xf>
    <xf numFmtId="167" fontId="0" fillId="0" borderId="43" xfId="0" applyNumberFormat="1" applyFont="1" applyFill="1" applyBorder="1" applyAlignment="1" applyProtection="1">
      <alignment horizontal="right"/>
      <protection locked="0"/>
    </xf>
    <xf numFmtId="167" fontId="0" fillId="2" borderId="23" xfId="0" applyNumberFormat="1" applyFont="1" applyFill="1" applyBorder="1" applyAlignment="1" applyProtection="1">
      <alignment horizontal="right"/>
      <protection locked="0"/>
    </xf>
    <xf numFmtId="164" fontId="0" fillId="11" borderId="1" xfId="0" applyNumberFormat="1" applyFill="1" applyBorder="1" applyAlignment="1" applyProtection="1">
      <alignment horizontal="right"/>
    </xf>
    <xf numFmtId="167" fontId="6" fillId="5" borderId="49" xfId="0" applyNumberFormat="1" applyFont="1" applyFill="1" applyBorder="1" applyAlignment="1" applyProtection="1">
      <alignment horizontal="right"/>
      <protection locked="0"/>
    </xf>
    <xf numFmtId="167" fontId="6" fillId="11" borderId="1" xfId="0" applyNumberFormat="1" applyFont="1" applyFill="1" applyBorder="1" applyAlignment="1" applyProtection="1">
      <alignment horizontal="right"/>
    </xf>
    <xf numFmtId="167" fontId="0" fillId="2" borderId="15" xfId="0" applyNumberFormat="1" applyFont="1" applyFill="1" applyBorder="1" applyAlignment="1" applyProtection="1">
      <alignment horizontal="right"/>
      <protection locked="0"/>
    </xf>
    <xf numFmtId="167" fontId="0" fillId="11" borderId="49" xfId="0" applyNumberFormat="1" applyFont="1" applyFill="1" applyBorder="1" applyAlignment="1" applyProtection="1">
      <alignment horizontal="right"/>
    </xf>
    <xf numFmtId="167" fontId="6" fillId="0" borderId="1" xfId="0" applyNumberFormat="1" applyFont="1" applyFill="1" applyBorder="1" applyAlignment="1" applyProtection="1">
      <alignment horizontal="right"/>
      <protection locked="0"/>
    </xf>
    <xf numFmtId="167" fontId="6" fillId="11" borderId="49" xfId="0" applyNumberFormat="1" applyFont="1" applyFill="1" applyBorder="1" applyAlignment="1" applyProtection="1">
      <alignment horizontal="right"/>
    </xf>
    <xf numFmtId="167" fontId="6" fillId="0" borderId="1" xfId="0" applyNumberFormat="1" applyFont="1" applyBorder="1" applyAlignment="1" applyProtection="1">
      <alignment horizontal="right"/>
      <protection locked="0"/>
    </xf>
    <xf numFmtId="167" fontId="0" fillId="0" borderId="23" xfId="0" applyNumberFormat="1" applyFont="1" applyBorder="1" applyAlignment="1" applyProtection="1">
      <alignment horizontal="right"/>
      <protection locked="0"/>
    </xf>
    <xf numFmtId="167" fontId="0" fillId="0" borderId="1" xfId="0" applyNumberFormat="1" applyFont="1" applyBorder="1" applyAlignment="1" applyProtection="1">
      <alignment horizontal="right"/>
      <protection locked="0"/>
    </xf>
    <xf numFmtId="167" fontId="0" fillId="0" borderId="15" xfId="0" applyNumberFormat="1" applyFont="1" applyBorder="1" applyAlignment="1" applyProtection="1">
      <alignment horizontal="right"/>
      <protection locked="0"/>
    </xf>
    <xf numFmtId="167" fontId="0" fillId="11" borderId="11" xfId="0" applyNumberFormat="1" applyFont="1" applyFill="1" applyBorder="1" applyAlignment="1" applyProtection="1">
      <alignment horizontal="right"/>
    </xf>
    <xf numFmtId="167" fontId="0" fillId="11" borderId="44" xfId="0" applyNumberFormat="1" applyFont="1" applyFill="1" applyBorder="1" applyAlignment="1" applyProtection="1">
      <alignment horizontal="right"/>
    </xf>
    <xf numFmtId="167" fontId="0" fillId="0" borderId="44" xfId="0" applyNumberFormat="1" applyFont="1" applyBorder="1" applyAlignment="1" applyProtection="1">
      <alignment horizontal="right"/>
      <protection locked="0"/>
    </xf>
    <xf numFmtId="167" fontId="0" fillId="0" borderId="12" xfId="0" applyNumberFormat="1" applyFont="1" applyFill="1" applyBorder="1" applyAlignment="1" applyProtection="1">
      <alignment horizontal="right"/>
      <protection locked="0"/>
    </xf>
    <xf numFmtId="167" fontId="0" fillId="0" borderId="16" xfId="0" applyNumberFormat="1" applyFont="1" applyBorder="1" applyAlignment="1" applyProtection="1">
      <alignment horizontal="right"/>
      <protection locked="0"/>
    </xf>
    <xf numFmtId="167" fontId="0" fillId="0" borderId="14" xfId="0" applyNumberFormat="1" applyFont="1" applyFill="1" applyBorder="1" applyAlignment="1" applyProtection="1">
      <alignment horizontal="right"/>
    </xf>
    <xf numFmtId="167" fontId="1" fillId="3" borderId="25" xfId="0" applyNumberFormat="1" applyFont="1" applyFill="1" applyBorder="1" applyAlignment="1" applyProtection="1">
      <alignment horizontal="right"/>
    </xf>
    <xf numFmtId="167" fontId="1" fillId="3" borderId="26" xfId="0" applyNumberFormat="1" applyFont="1" applyFill="1" applyBorder="1" applyAlignment="1" applyProtection="1">
      <alignment horizontal="right"/>
    </xf>
    <xf numFmtId="167" fontId="1" fillId="3" borderId="29" xfId="0" applyNumberFormat="1" applyFont="1" applyFill="1" applyBorder="1" applyAlignment="1" applyProtection="1">
      <alignment horizontal="right"/>
    </xf>
    <xf numFmtId="167" fontId="1" fillId="3" borderId="30" xfId="0" applyNumberFormat="1" applyFont="1" applyFill="1" applyBorder="1" applyAlignment="1" applyProtection="1">
      <alignment horizontal="right"/>
    </xf>
    <xf numFmtId="167" fontId="8" fillId="5" borderId="41" xfId="0" applyNumberFormat="1" applyFont="1" applyFill="1" applyBorder="1" applyAlignment="1" applyProtection="1">
      <alignment horizontal="center"/>
    </xf>
    <xf numFmtId="167" fontId="8" fillId="5" borderId="42" xfId="0" applyNumberFormat="1" applyFont="1" applyFill="1" applyBorder="1" applyAlignment="1" applyProtection="1">
      <alignment horizontal="center"/>
    </xf>
    <xf numFmtId="167" fontId="8" fillId="5" borderId="59" xfId="0" applyNumberFormat="1" applyFont="1" applyFill="1" applyBorder="1" applyAlignment="1" applyProtection="1">
      <alignment horizontal="center"/>
    </xf>
    <xf numFmtId="167" fontId="8" fillId="5" borderId="53" xfId="0" applyNumberFormat="1" applyFont="1" applyFill="1" applyBorder="1" applyAlignment="1" applyProtection="1">
      <alignment horizontal="center"/>
    </xf>
    <xf numFmtId="167" fontId="1" fillId="0" borderId="41" xfId="0" applyNumberFormat="1" applyFont="1" applyBorder="1" applyAlignment="1" applyProtection="1">
      <alignment horizontal="center"/>
    </xf>
    <xf numFmtId="167" fontId="1" fillId="0" borderId="42" xfId="0" applyNumberFormat="1" applyFont="1" applyBorder="1" applyAlignment="1" applyProtection="1">
      <alignment horizontal="center"/>
    </xf>
    <xf numFmtId="167" fontId="0" fillId="0" borderId="27" xfId="0" applyNumberFormat="1" applyFont="1" applyBorder="1" applyAlignment="1" applyProtection="1">
      <alignment horizontal="center" vertical="center"/>
    </xf>
    <xf numFmtId="167" fontId="0" fillId="0" borderId="30" xfId="0" applyNumberFormat="1" applyFont="1" applyBorder="1" applyAlignment="1" applyProtection="1">
      <alignment horizontal="center" vertical="center"/>
    </xf>
    <xf numFmtId="167" fontId="14" fillId="0" borderId="53" xfId="0" applyNumberFormat="1" applyFont="1" applyFill="1" applyBorder="1" applyAlignment="1" applyProtection="1">
      <alignment horizontal="center" vertical="center"/>
    </xf>
    <xf numFmtId="167" fontId="12" fillId="0" borderId="34" xfId="0" applyNumberFormat="1" applyFont="1" applyBorder="1" applyAlignment="1" applyProtection="1">
      <alignment horizontal="center"/>
    </xf>
    <xf numFmtId="167" fontId="12" fillId="0" borderId="18" xfId="0" applyNumberFormat="1" applyFont="1" applyBorder="1" applyAlignment="1" applyProtection="1">
      <alignment horizontal="center"/>
    </xf>
    <xf numFmtId="167" fontId="12" fillId="0" borderId="35" xfId="0" applyNumberFormat="1" applyFont="1" applyBorder="1" applyAlignment="1" applyProtection="1">
      <alignment horizontal="center"/>
    </xf>
    <xf numFmtId="167" fontId="0" fillId="0" borderId="20" xfId="0" applyNumberFormat="1" applyFont="1" applyBorder="1" applyAlignment="1" applyProtection="1">
      <alignment horizontal="center" vertical="center"/>
    </xf>
    <xf numFmtId="167" fontId="0" fillId="0" borderId="21" xfId="0" applyNumberFormat="1" applyFont="1" applyBorder="1" applyAlignment="1" applyProtection="1">
      <alignment horizontal="center" vertical="center"/>
    </xf>
    <xf numFmtId="167" fontId="14" fillId="0" borderId="48" xfId="0" applyNumberFormat="1" applyFont="1" applyFill="1" applyBorder="1" applyAlignment="1" applyProtection="1">
      <alignment horizontal="center" vertical="center"/>
    </xf>
    <xf numFmtId="165" fontId="0" fillId="0" borderId="4" xfId="0" applyNumberFormat="1" applyFont="1" applyBorder="1" applyProtection="1">
      <protection locked="0"/>
    </xf>
    <xf numFmtId="165" fontId="0" fillId="0" borderId="7" xfId="0" applyNumberFormat="1" applyFont="1" applyBorder="1" applyProtection="1">
      <protection locked="0"/>
    </xf>
    <xf numFmtId="167" fontId="0" fillId="0" borderId="55" xfId="0" applyNumberFormat="1" applyFont="1" applyBorder="1" applyProtection="1">
      <protection locked="0"/>
    </xf>
    <xf numFmtId="167" fontId="0" fillId="0" borderId="13" xfId="0" applyNumberFormat="1" applyFont="1" applyFill="1" applyBorder="1" applyAlignment="1" applyProtection="1">
      <alignment horizontal="right"/>
    </xf>
    <xf numFmtId="164" fontId="0" fillId="0" borderId="2" xfId="0" applyNumberFormat="1" applyFill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" xfId="0" applyNumberFormat="1" applyFont="1" applyFill="1" applyBorder="1" applyProtection="1">
      <protection locked="0"/>
    </xf>
    <xf numFmtId="167" fontId="0" fillId="0" borderId="54" xfId="0" applyNumberFormat="1" applyFont="1" applyBorder="1" applyProtection="1">
      <protection locked="0"/>
    </xf>
    <xf numFmtId="167" fontId="0" fillId="0" borderId="54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165" fontId="0" fillId="0" borderId="2" xfId="0" applyNumberFormat="1" applyFont="1" applyBorder="1" applyProtection="1">
      <protection locked="0"/>
    </xf>
    <xf numFmtId="165" fontId="0" fillId="0" borderId="11" xfId="0" applyNumberFormat="1" applyFont="1" applyBorder="1" applyProtection="1">
      <protection locked="0"/>
    </xf>
    <xf numFmtId="165" fontId="0" fillId="0" borderId="40" xfId="0" applyNumberFormat="1" applyFont="1" applyBorder="1" applyProtection="1">
      <protection locked="0"/>
    </xf>
    <xf numFmtId="167" fontId="0" fillId="0" borderId="57" xfId="0" applyNumberFormat="1" applyFont="1" applyBorder="1" applyProtection="1">
      <protection locked="0"/>
    </xf>
    <xf numFmtId="165" fontId="1" fillId="5" borderId="34" xfId="0" applyNumberFormat="1" applyFont="1" applyFill="1" applyBorder="1" applyProtection="1"/>
    <xf numFmtId="167" fontId="0" fillId="5" borderId="55" xfId="0" applyNumberFormat="1" applyFont="1" applyFill="1" applyBorder="1" applyProtection="1">
      <protection locked="0"/>
    </xf>
    <xf numFmtId="167" fontId="1" fillId="5" borderId="56" xfId="0" applyNumberFormat="1" applyFont="1" applyFill="1" applyBorder="1" applyProtection="1"/>
    <xf numFmtId="167" fontId="1" fillId="5" borderId="3" xfId="0" applyNumberFormat="1" applyFont="1" applyFill="1" applyBorder="1" applyProtection="1"/>
    <xf numFmtId="167" fontId="17" fillId="9" borderId="38" xfId="0" applyNumberFormat="1" applyFont="1" applyFill="1" applyBorder="1" applyAlignment="1" applyProtection="1"/>
    <xf numFmtId="167" fontId="17" fillId="9" borderId="30" xfId="0" applyNumberFormat="1" applyFont="1" applyFill="1" applyBorder="1" applyAlignment="1" applyProtection="1"/>
    <xf numFmtId="0" fontId="0" fillId="0" borderId="22" xfId="0" applyFont="1" applyFill="1" applyBorder="1" applyAlignment="1" applyProtection="1">
      <alignment horizontal="left"/>
      <protection locked="0"/>
    </xf>
    <xf numFmtId="0" fontId="0" fillId="0" borderId="2" xfId="0" applyFon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49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4" fontId="0" fillId="0" borderId="11" xfId="0" applyNumberFormat="1" applyBorder="1" applyProtection="1">
      <protection locked="0"/>
    </xf>
    <xf numFmtId="0" fontId="0" fillId="0" borderId="22" xfId="0" applyBorder="1"/>
    <xf numFmtId="164" fontId="0" fillId="8" borderId="0" xfId="0" applyNumberFormat="1" applyFill="1"/>
    <xf numFmtId="168" fontId="0" fillId="0" borderId="49" xfId="0" applyNumberFormat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12" borderId="22" xfId="0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" fillId="0" borderId="22" xfId="0" applyFont="1" applyBorder="1"/>
    <xf numFmtId="0" fontId="0" fillId="0" borderId="2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11" xfId="0" applyNumberFormat="1" applyFont="1" applyFill="1" applyBorder="1" applyProtection="1">
      <protection locked="0"/>
    </xf>
    <xf numFmtId="165" fontId="0" fillId="0" borderId="11" xfId="0" applyNumberFormat="1" applyFont="1" applyFill="1" applyBorder="1" applyProtection="1">
      <protection locked="0"/>
    </xf>
    <xf numFmtId="0" fontId="0" fillId="0" borderId="49" xfId="0" applyFont="1" applyFill="1" applyBorder="1" applyProtection="1">
      <protection locked="0"/>
    </xf>
    <xf numFmtId="164" fontId="0" fillId="0" borderId="55" xfId="0" applyNumberFormat="1" applyFont="1" applyFill="1" applyBorder="1" applyProtection="1">
      <protection locked="0"/>
    </xf>
    <xf numFmtId="164" fontId="0" fillId="0" borderId="4" xfId="0" applyNumberFormat="1" applyFont="1" applyFill="1" applyBorder="1" applyProtection="1">
      <protection locked="0"/>
    </xf>
    <xf numFmtId="165" fontId="0" fillId="0" borderId="4" xfId="0" applyNumberFormat="1" applyFont="1" applyFill="1" applyBorder="1" applyProtection="1">
      <protection locked="0"/>
    </xf>
    <xf numFmtId="165" fontId="1" fillId="3" borderId="30" xfId="0" applyNumberFormat="1" applyFont="1" applyFill="1" applyBorder="1" applyAlignment="1" applyProtection="1">
      <alignment horizontal="right"/>
    </xf>
    <xf numFmtId="165" fontId="1" fillId="3" borderId="29" xfId="0" applyNumberFormat="1" applyFont="1" applyFill="1" applyBorder="1" applyAlignment="1" applyProtection="1">
      <alignment horizontal="right"/>
    </xf>
    <xf numFmtId="165" fontId="1" fillId="3" borderId="26" xfId="0" applyNumberFormat="1" applyFont="1" applyFill="1" applyBorder="1" applyAlignment="1" applyProtection="1">
      <alignment horizontal="right"/>
    </xf>
    <xf numFmtId="165" fontId="1" fillId="3" borderId="25" xfId="0" applyNumberFormat="1" applyFont="1" applyFill="1" applyBorder="1" applyAlignment="1" applyProtection="1">
      <alignment horizontal="right"/>
    </xf>
    <xf numFmtId="165" fontId="0" fillId="0" borderId="14" xfId="0" applyNumberFormat="1" applyFont="1" applyFill="1" applyBorder="1" applyAlignment="1" applyProtection="1">
      <alignment horizontal="right"/>
    </xf>
    <xf numFmtId="165" fontId="0" fillId="0" borderId="16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  <protection locked="0"/>
    </xf>
    <xf numFmtId="165" fontId="0" fillId="0" borderId="44" xfId="0" applyNumberFormat="1" applyFont="1" applyBorder="1" applyAlignment="1" applyProtection="1">
      <alignment horizontal="right"/>
      <protection locked="0"/>
    </xf>
    <xf numFmtId="165" fontId="0" fillId="11" borderId="44" xfId="0" applyNumberFormat="1" applyFont="1" applyFill="1" applyBorder="1" applyAlignment="1" applyProtection="1">
      <alignment horizontal="right"/>
    </xf>
    <xf numFmtId="165" fontId="0" fillId="11" borderId="11" xfId="0" applyNumberFormat="1" applyFont="1" applyFill="1" applyBorder="1" applyAlignment="1" applyProtection="1">
      <alignment horizontal="right"/>
    </xf>
    <xf numFmtId="165" fontId="0" fillId="0" borderId="23" xfId="0" applyNumberFormat="1" applyFont="1" applyFill="1" applyBorder="1" applyAlignment="1" applyProtection="1">
      <alignment horizontal="right"/>
    </xf>
    <xf numFmtId="165" fontId="0" fillId="0" borderId="15" xfId="0" applyNumberFormat="1" applyFont="1" applyBorder="1" applyAlignment="1" applyProtection="1">
      <alignment horizontal="right"/>
      <protection locked="0"/>
    </xf>
    <xf numFmtId="165" fontId="0" fillId="0" borderId="43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 applyProtection="1">
      <alignment horizontal="right"/>
      <protection locked="0"/>
    </xf>
    <xf numFmtId="165" fontId="0" fillId="11" borderId="1" xfId="0" applyNumberFormat="1" applyFont="1" applyFill="1" applyBorder="1" applyAlignment="1" applyProtection="1">
      <alignment horizontal="right"/>
    </xf>
    <xf numFmtId="165" fontId="0" fillId="11" borderId="49" xfId="0" applyNumberFormat="1" applyFont="1" applyFill="1" applyBorder="1" applyAlignment="1" applyProtection="1">
      <alignment horizontal="right"/>
    </xf>
    <xf numFmtId="165" fontId="0" fillId="0" borderId="23" xfId="0" applyNumberFormat="1" applyFont="1" applyBorder="1" applyAlignment="1" applyProtection="1">
      <alignment horizontal="right"/>
      <protection locked="0"/>
    </xf>
    <xf numFmtId="165" fontId="6" fillId="0" borderId="1" xfId="0" applyNumberFormat="1" applyFont="1" applyBorder="1" applyAlignment="1" applyProtection="1">
      <alignment horizontal="right"/>
      <protection locked="0"/>
    </xf>
    <xf numFmtId="165" fontId="6" fillId="11" borderId="1" xfId="0" applyNumberFormat="1" applyFont="1" applyFill="1" applyBorder="1" applyAlignment="1" applyProtection="1">
      <alignment horizontal="right"/>
    </xf>
    <xf numFmtId="165" fontId="6" fillId="11" borderId="49" xfId="0" applyNumberFormat="1" applyFont="1" applyFill="1" applyBorder="1" applyAlignment="1" applyProtection="1">
      <alignment horizontal="right"/>
    </xf>
    <xf numFmtId="165" fontId="0" fillId="0" borderId="23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165" fontId="0" fillId="2" borderId="15" xfId="0" applyNumberFormat="1" applyFont="1" applyFill="1" applyBorder="1" applyAlignment="1" applyProtection="1">
      <alignment horizontal="right"/>
      <protection locked="0"/>
    </xf>
    <xf numFmtId="165" fontId="6" fillId="5" borderId="49" xfId="0" applyNumberFormat="1" applyFont="1" applyFill="1" applyBorder="1" applyAlignment="1" applyProtection="1">
      <alignment horizontal="right"/>
      <protection locked="0"/>
    </xf>
    <xf numFmtId="165" fontId="0" fillId="2" borderId="23" xfId="0" applyNumberFormat="1" applyFont="1" applyFill="1" applyBorder="1" applyAlignment="1" applyProtection="1">
      <alignment horizontal="right"/>
      <protection locked="0"/>
    </xf>
    <xf numFmtId="165" fontId="0" fillId="10" borderId="49" xfId="0" applyNumberFormat="1" applyFont="1" applyFill="1" applyBorder="1" applyAlignment="1" applyProtection="1">
      <alignment horizontal="right"/>
      <protection locked="0"/>
    </xf>
    <xf numFmtId="165" fontId="0" fillId="0" borderId="8" xfId="0" applyNumberFormat="1" applyFont="1" applyFill="1" applyBorder="1" applyAlignment="1" applyProtection="1">
      <alignment horizontal="right"/>
      <protection locked="0"/>
    </xf>
    <xf numFmtId="165" fontId="0" fillId="0" borderId="9" xfId="0" applyNumberFormat="1" applyFont="1" applyFill="1" applyBorder="1" applyAlignment="1" applyProtection="1">
      <alignment horizontal="right"/>
      <protection locked="0"/>
    </xf>
    <xf numFmtId="165" fontId="0" fillId="11" borderId="9" xfId="0" applyNumberFormat="1" applyFont="1" applyFill="1" applyBorder="1" applyAlignment="1" applyProtection="1">
      <alignment horizontal="right"/>
    </xf>
    <xf numFmtId="165" fontId="0" fillId="11" borderId="51" xfId="0" applyNumberFormat="1" applyFont="1" applyFill="1" applyBorder="1" applyAlignment="1" applyProtection="1">
      <alignment horizontal="right"/>
    </xf>
    <xf numFmtId="3" fontId="1" fillId="0" borderId="0" xfId="0" applyNumberFormat="1" applyFont="1" applyFill="1" applyAlignment="1" applyProtection="1">
      <alignment horizontal="left"/>
      <protection locked="0"/>
    </xf>
    <xf numFmtId="167" fontId="0" fillId="11" borderId="51" xfId="0" applyNumberFormat="1" applyFill="1" applyBorder="1" applyAlignment="1">
      <alignment horizontal="right"/>
    </xf>
    <xf numFmtId="167" fontId="0" fillId="11" borderId="9" xfId="0" applyNumberFormat="1" applyFill="1" applyBorder="1" applyAlignment="1">
      <alignment horizontal="right"/>
    </xf>
    <xf numFmtId="167" fontId="0" fillId="0" borderId="9" xfId="0" applyNumberFormat="1" applyBorder="1" applyAlignment="1" applyProtection="1">
      <alignment horizontal="right"/>
      <protection locked="0"/>
    </xf>
    <xf numFmtId="167" fontId="0" fillId="0" borderId="8" xfId="0" applyNumberFormat="1" applyBorder="1" applyAlignment="1" applyProtection="1">
      <alignment horizontal="right"/>
      <protection locked="0"/>
    </xf>
    <xf numFmtId="167" fontId="0" fillId="0" borderId="23" xfId="0" applyNumberFormat="1" applyBorder="1" applyAlignment="1" applyProtection="1">
      <alignment horizontal="right"/>
      <protection locked="0"/>
    </xf>
    <xf numFmtId="167" fontId="0" fillId="0" borderId="23" xfId="0" applyNumberFormat="1" applyBorder="1" applyAlignment="1">
      <alignment horizontal="right"/>
    </xf>
    <xf numFmtId="167" fontId="0" fillId="10" borderId="49" xfId="0" applyNumberFormat="1" applyFill="1" applyBorder="1" applyAlignment="1" applyProtection="1">
      <alignment horizontal="right"/>
      <protection locked="0"/>
    </xf>
    <xf numFmtId="167" fontId="0" fillId="11" borderId="1" xfId="0" applyNumberFormat="1" applyFill="1" applyBorder="1" applyAlignment="1">
      <alignment horizontal="right"/>
    </xf>
    <xf numFmtId="167" fontId="0" fillId="0" borderId="43" xfId="0" applyNumberFormat="1" applyBorder="1" applyAlignment="1" applyProtection="1">
      <alignment horizontal="right"/>
      <protection locked="0"/>
    </xf>
    <xf numFmtId="167" fontId="0" fillId="2" borderId="23" xfId="0" applyNumberFormat="1" applyFill="1" applyBorder="1" applyAlignment="1" applyProtection="1">
      <alignment horizontal="right"/>
      <protection locked="0"/>
    </xf>
    <xf numFmtId="167" fontId="6" fillId="11" borderId="1" xfId="0" applyNumberFormat="1" applyFont="1" applyFill="1" applyBorder="1" applyAlignment="1">
      <alignment horizontal="right"/>
    </xf>
    <xf numFmtId="167" fontId="0" fillId="2" borderId="15" xfId="0" applyNumberFormat="1" applyFill="1" applyBorder="1" applyAlignment="1" applyProtection="1">
      <alignment horizontal="right"/>
      <protection locked="0"/>
    </xf>
    <xf numFmtId="167" fontId="0" fillId="11" borderId="49" xfId="0" applyNumberFormat="1" applyFill="1" applyBorder="1" applyAlignment="1">
      <alignment horizontal="right"/>
    </xf>
    <xf numFmtId="167" fontId="6" fillId="11" borderId="49" xfId="0" applyNumberFormat="1" applyFont="1" applyFill="1" applyBorder="1" applyAlignment="1">
      <alignment horizontal="right"/>
    </xf>
    <xf numFmtId="167" fontId="0" fillId="0" borderId="1" xfId="0" applyNumberFormat="1" applyBorder="1" applyAlignment="1" applyProtection="1">
      <alignment horizontal="right"/>
      <protection locked="0"/>
    </xf>
    <xf numFmtId="167" fontId="0" fillId="0" borderId="15" xfId="0" applyNumberFormat="1" applyBorder="1" applyAlignment="1" applyProtection="1">
      <alignment horizontal="right"/>
      <protection locked="0"/>
    </xf>
    <xf numFmtId="167" fontId="0" fillId="11" borderId="11" xfId="0" applyNumberFormat="1" applyFill="1" applyBorder="1" applyAlignment="1">
      <alignment horizontal="right"/>
    </xf>
    <xf numFmtId="167" fontId="0" fillId="11" borderId="44" xfId="0" applyNumberFormat="1" applyFill="1" applyBorder="1" applyAlignment="1">
      <alignment horizontal="right"/>
    </xf>
    <xf numFmtId="167" fontId="0" fillId="0" borderId="44" xfId="0" applyNumberFormat="1" applyBorder="1" applyAlignment="1" applyProtection="1">
      <alignment horizontal="right"/>
      <protection locked="0"/>
    </xf>
    <xf numFmtId="167" fontId="0" fillId="0" borderId="12" xfId="0" applyNumberFormat="1" applyBorder="1" applyAlignment="1" applyProtection="1">
      <alignment horizontal="right"/>
      <protection locked="0"/>
    </xf>
    <xf numFmtId="167" fontId="0" fillId="0" borderId="16" xfId="0" applyNumberFormat="1" applyBorder="1" applyAlignment="1" applyProtection="1">
      <alignment horizontal="right"/>
      <protection locked="0"/>
    </xf>
    <xf numFmtId="167" fontId="0" fillId="0" borderId="14" xfId="0" applyNumberFormat="1" applyBorder="1" applyAlignment="1">
      <alignment horizontal="right"/>
    </xf>
    <xf numFmtId="167" fontId="1" fillId="3" borderId="25" xfId="0" applyNumberFormat="1" applyFont="1" applyFill="1" applyBorder="1" applyAlignment="1">
      <alignment horizontal="right"/>
    </xf>
    <xf numFmtId="167" fontId="1" fillId="3" borderId="26" xfId="0" applyNumberFormat="1" applyFont="1" applyFill="1" applyBorder="1" applyAlignment="1">
      <alignment horizontal="right"/>
    </xf>
    <xf numFmtId="167" fontId="1" fillId="3" borderId="29" xfId="0" applyNumberFormat="1" applyFont="1" applyFill="1" applyBorder="1" applyAlignment="1">
      <alignment horizontal="right"/>
    </xf>
    <xf numFmtId="167" fontId="1" fillId="3" borderId="30" xfId="0" applyNumberFormat="1" applyFont="1" applyFill="1" applyBorder="1" applyAlignment="1">
      <alignment horizontal="right"/>
    </xf>
    <xf numFmtId="167" fontId="8" fillId="5" borderId="41" xfId="0" applyNumberFormat="1" applyFont="1" applyFill="1" applyBorder="1" applyAlignment="1">
      <alignment horizontal="center"/>
    </xf>
    <xf numFmtId="167" fontId="8" fillId="5" borderId="42" xfId="0" applyNumberFormat="1" applyFont="1" applyFill="1" applyBorder="1" applyAlignment="1">
      <alignment horizontal="center"/>
    </xf>
    <xf numFmtId="167" fontId="8" fillId="5" borderId="59" xfId="0" applyNumberFormat="1" applyFont="1" applyFill="1" applyBorder="1" applyAlignment="1">
      <alignment horizontal="center"/>
    </xf>
    <xf numFmtId="167" fontId="8" fillId="5" borderId="53" xfId="0" applyNumberFormat="1" applyFont="1" applyFill="1" applyBorder="1" applyAlignment="1">
      <alignment horizontal="center"/>
    </xf>
    <xf numFmtId="167" fontId="1" fillId="0" borderId="41" xfId="0" applyNumberFormat="1" applyFont="1" applyBorder="1" applyAlignment="1">
      <alignment horizontal="center"/>
    </xf>
    <xf numFmtId="167" fontId="1" fillId="0" borderId="42" xfId="0" applyNumberFormat="1" applyFont="1" applyBorder="1" applyAlignment="1">
      <alignment horizontal="center"/>
    </xf>
    <xf numFmtId="167" fontId="0" fillId="0" borderId="27" xfId="0" applyNumberFormat="1" applyBorder="1" applyAlignment="1">
      <alignment horizontal="center" vertical="center"/>
    </xf>
    <xf numFmtId="167" fontId="0" fillId="0" borderId="30" xfId="0" applyNumberFormat="1" applyBorder="1" applyAlignment="1">
      <alignment horizontal="center" vertical="center"/>
    </xf>
    <xf numFmtId="167" fontId="14" fillId="0" borderId="53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center"/>
    </xf>
    <xf numFmtId="167" fontId="12" fillId="0" borderId="35" xfId="0" applyNumberFormat="1" applyFont="1" applyBorder="1" applyAlignment="1">
      <alignment horizontal="center"/>
    </xf>
    <xf numFmtId="167" fontId="0" fillId="0" borderId="20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167" fontId="14" fillId="0" borderId="48" xfId="0" applyNumberFormat="1" applyFont="1" applyBorder="1" applyAlignment="1">
      <alignment horizontal="center" vertical="center"/>
    </xf>
    <xf numFmtId="165" fontId="0" fillId="0" borderId="4" xfId="0" applyNumberFormat="1" applyBorder="1" applyProtection="1">
      <protection locked="0"/>
    </xf>
    <xf numFmtId="165" fontId="0" fillId="0" borderId="7" xfId="0" applyNumberFormat="1" applyBorder="1" applyProtection="1">
      <protection locked="0"/>
    </xf>
    <xf numFmtId="167" fontId="0" fillId="0" borderId="55" xfId="0" applyNumberFormat="1" applyBorder="1" applyProtection="1">
      <protection locked="0"/>
    </xf>
    <xf numFmtId="167" fontId="0" fillId="0" borderId="13" xfId="0" applyNumberFormat="1" applyBorder="1" applyAlignment="1">
      <alignment horizontal="right"/>
    </xf>
    <xf numFmtId="165" fontId="0" fillId="0" borderId="49" xfId="0" applyNumberFormat="1" applyBorder="1" applyProtection="1">
      <protection locked="0"/>
    </xf>
    <xf numFmtId="167" fontId="0" fillId="0" borderId="54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0" fillId="0" borderId="40" xfId="0" applyNumberFormat="1" applyBorder="1" applyProtection="1">
      <protection locked="0"/>
    </xf>
    <xf numFmtId="167" fontId="0" fillId="0" borderId="57" xfId="0" applyNumberFormat="1" applyBorder="1" applyProtection="1">
      <protection locked="0"/>
    </xf>
    <xf numFmtId="165" fontId="1" fillId="5" borderId="34" xfId="0" applyNumberFormat="1" applyFont="1" applyFill="1" applyBorder="1"/>
    <xf numFmtId="167" fontId="0" fillId="5" borderId="55" xfId="0" applyNumberFormat="1" applyFill="1" applyBorder="1" applyProtection="1">
      <protection locked="0"/>
    </xf>
    <xf numFmtId="167" fontId="1" fillId="5" borderId="56" xfId="0" applyNumberFormat="1" applyFont="1" applyFill="1" applyBorder="1"/>
    <xf numFmtId="167" fontId="1" fillId="5" borderId="3" xfId="0" applyNumberFormat="1" applyFont="1" applyFill="1" applyBorder="1"/>
    <xf numFmtId="167" fontId="17" fillId="9" borderId="38" xfId="0" applyNumberFormat="1" applyFont="1" applyFill="1" applyBorder="1"/>
    <xf numFmtId="167" fontId="17" fillId="9" borderId="30" xfId="0" applyNumberFormat="1" applyFont="1" applyFill="1" applyBorder="1"/>
    <xf numFmtId="164" fontId="0" fillId="13" borderId="1" xfId="0" applyNumberFormat="1" applyFill="1" applyBorder="1" applyAlignment="1" applyProtection="1">
      <alignment horizontal="right"/>
    </xf>
    <xf numFmtId="167" fontId="0" fillId="13" borderId="1" xfId="0" applyNumberFormat="1" applyFill="1" applyBorder="1" applyAlignment="1" applyProtection="1">
      <alignment horizontal="right"/>
    </xf>
    <xf numFmtId="164" fontId="6" fillId="13" borderId="1" xfId="0" applyNumberFormat="1" applyFont="1" applyFill="1" applyBorder="1" applyAlignment="1" applyProtection="1">
      <alignment horizontal="right"/>
      <protection locked="0"/>
    </xf>
    <xf numFmtId="167" fontId="6" fillId="13" borderId="1" xfId="0" applyNumberFormat="1" applyFont="1" applyFill="1" applyBorder="1" applyAlignment="1" applyProtection="1">
      <alignment horizontal="right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4" fillId="19" borderId="17" xfId="0" applyFont="1" applyFill="1" applyBorder="1" applyAlignment="1">
      <alignment horizontal="center" vertical="center"/>
    </xf>
    <xf numFmtId="0" fontId="24" fillId="19" borderId="18" xfId="0" applyFont="1" applyFill="1" applyBorder="1" applyAlignment="1">
      <alignment horizontal="center" vertical="center"/>
    </xf>
    <xf numFmtId="0" fontId="24" fillId="19" borderId="19" xfId="0" applyFont="1" applyFill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10" fontId="8" fillId="0" borderId="14" xfId="0" applyNumberFormat="1" applyFont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164" fontId="0" fillId="0" borderId="29" xfId="0" applyNumberFormat="1" applyBorder="1" applyAlignment="1">
      <alignment horizontal="center" vertical="center"/>
    </xf>
    <xf numFmtId="164" fontId="0" fillId="0" borderId="59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/>
    </xf>
    <xf numFmtId="164" fontId="0" fillId="0" borderId="60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64" fontId="7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10" fontId="8" fillId="0" borderId="21" xfId="0" applyNumberFormat="1" applyFont="1" applyBorder="1" applyAlignment="1">
      <alignment horizontal="center" vertical="center" wrapText="1"/>
    </xf>
    <xf numFmtId="164" fontId="7" fillId="11" borderId="51" xfId="0" applyNumberFormat="1" applyFont="1" applyFill="1" applyBorder="1" applyAlignment="1">
      <alignment horizontal="right"/>
    </xf>
    <xf numFmtId="164" fontId="7" fillId="11" borderId="9" xfId="0" applyNumberFormat="1" applyFont="1" applyFill="1" applyBorder="1" applyAlignment="1">
      <alignment horizontal="right"/>
    </xf>
    <xf numFmtId="164" fontId="7" fillId="0" borderId="9" xfId="0" applyNumberFormat="1" applyFont="1" applyBorder="1" applyAlignment="1" applyProtection="1">
      <alignment horizontal="right"/>
      <protection locked="0"/>
    </xf>
    <xf numFmtId="164" fontId="7" fillId="0" borderId="8" xfId="0" applyNumberFormat="1" applyFont="1" applyBorder="1" applyAlignment="1" applyProtection="1">
      <alignment horizontal="right"/>
      <protection locked="0"/>
    </xf>
    <xf numFmtId="164" fontId="7" fillId="13" borderId="52" xfId="0" applyNumberFormat="1" applyFont="1" applyFill="1" applyBorder="1" applyAlignment="1" applyProtection="1">
      <alignment horizontal="right"/>
      <protection locked="0"/>
    </xf>
    <xf numFmtId="164" fontId="7" fillId="13" borderId="61" xfId="0" applyNumberFormat="1" applyFont="1" applyFill="1" applyBorder="1" applyAlignment="1" applyProtection="1">
      <alignment horizontal="right"/>
      <protection locked="0"/>
    </xf>
    <xf numFmtId="164" fontId="7" fillId="0" borderId="23" xfId="0" applyNumberFormat="1" applyFont="1" applyBorder="1" applyAlignment="1" applyProtection="1">
      <alignment horizontal="right"/>
      <protection locked="0"/>
    </xf>
    <xf numFmtId="164" fontId="7" fillId="0" borderId="23" xfId="0" applyNumberFormat="1" applyFont="1" applyBorder="1" applyAlignment="1">
      <alignment horizontal="right"/>
    </xf>
    <xf numFmtId="164" fontId="7" fillId="10" borderId="49" xfId="0" applyNumberFormat="1" applyFont="1" applyFill="1" applyBorder="1" applyAlignment="1" applyProtection="1">
      <alignment horizontal="right"/>
      <protection locked="0"/>
    </xf>
    <xf numFmtId="164" fontId="7" fillId="11" borderId="1" xfId="0" applyNumberFormat="1" applyFont="1" applyFill="1" applyBorder="1" applyAlignment="1">
      <alignment horizontal="right"/>
    </xf>
    <xf numFmtId="164" fontId="7" fillId="2" borderId="23" xfId="0" applyNumberFormat="1" applyFont="1" applyFill="1" applyBorder="1" applyAlignment="1" applyProtection="1">
      <alignment horizontal="right"/>
      <protection locked="0"/>
    </xf>
    <xf numFmtId="164" fontId="7" fillId="0" borderId="43" xfId="0" applyNumberFormat="1" applyFont="1" applyBorder="1" applyAlignment="1" applyProtection="1">
      <alignment horizontal="right"/>
      <protection locked="0"/>
    </xf>
    <xf numFmtId="164" fontId="7" fillId="19" borderId="49" xfId="0" applyNumberFormat="1" applyFont="1" applyFill="1" applyBorder="1" applyAlignment="1" applyProtection="1">
      <alignment horizontal="right"/>
      <protection locked="0"/>
    </xf>
    <xf numFmtId="164" fontId="7" fillId="5" borderId="49" xfId="0" applyNumberFormat="1" applyFont="1" applyFill="1" applyBorder="1" applyAlignment="1" applyProtection="1">
      <alignment horizontal="right"/>
      <protection locked="0"/>
    </xf>
    <xf numFmtId="164" fontId="7" fillId="2" borderId="15" xfId="0" applyNumberFormat="1" applyFont="1" applyFill="1" applyBorder="1" applyAlignment="1" applyProtection="1">
      <alignment horizontal="right"/>
      <protection locked="0"/>
    </xf>
    <xf numFmtId="164" fontId="7" fillId="11" borderId="49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7" fillId="13" borderId="1" xfId="0" applyNumberFormat="1" applyFont="1" applyFill="1" applyBorder="1" applyAlignment="1" applyProtection="1">
      <alignment horizontal="right"/>
      <protection locked="0"/>
    </xf>
    <xf numFmtId="164" fontId="7" fillId="13" borderId="62" xfId="0" applyNumberFormat="1" applyFont="1" applyFill="1" applyBorder="1" applyAlignment="1" applyProtection="1">
      <alignment horizontal="right"/>
      <protection locked="0"/>
    </xf>
    <xf numFmtId="164" fontId="7" fillId="0" borderId="15" xfId="0" applyNumberFormat="1" applyFont="1" applyBorder="1" applyAlignment="1" applyProtection="1">
      <alignment horizontal="right"/>
      <protection locked="0"/>
    </xf>
    <xf numFmtId="164" fontId="7" fillId="11" borderId="11" xfId="0" applyNumberFormat="1" applyFont="1" applyFill="1" applyBorder="1" applyAlignment="1">
      <alignment horizontal="right"/>
    </xf>
    <xf numFmtId="164" fontId="7" fillId="11" borderId="44" xfId="0" applyNumberFormat="1" applyFont="1" applyFill="1" applyBorder="1" applyAlignment="1">
      <alignment horizontal="right"/>
    </xf>
    <xf numFmtId="164" fontId="7" fillId="0" borderId="44" xfId="0" applyNumberFormat="1" applyFont="1" applyBorder="1" applyAlignment="1" applyProtection="1">
      <alignment horizontal="right"/>
      <protection locked="0"/>
    </xf>
    <xf numFmtId="164" fontId="7" fillId="13" borderId="39" xfId="0" applyNumberFormat="1" applyFont="1" applyFill="1" applyBorder="1" applyAlignment="1" applyProtection="1">
      <alignment horizontal="right"/>
      <protection locked="0"/>
    </xf>
    <xf numFmtId="164" fontId="7" fillId="0" borderId="16" xfId="0" applyNumberFormat="1" applyFont="1" applyBorder="1" applyAlignment="1" applyProtection="1">
      <alignment horizontal="right"/>
      <protection locked="0"/>
    </xf>
    <xf numFmtId="164" fontId="7" fillId="0" borderId="14" xfId="0" applyNumberFormat="1" applyFont="1" applyBorder="1" applyAlignment="1">
      <alignment horizontal="right"/>
    </xf>
    <xf numFmtId="164" fontId="7" fillId="0" borderId="12" xfId="0" applyNumberFormat="1" applyFont="1" applyBorder="1" applyAlignment="1" applyProtection="1">
      <alignment horizontal="right"/>
      <protection locked="0"/>
    </xf>
    <xf numFmtId="164" fontId="8" fillId="3" borderId="25" xfId="0" applyNumberFormat="1" applyFont="1" applyFill="1" applyBorder="1" applyAlignment="1">
      <alignment horizontal="right"/>
    </xf>
    <xf numFmtId="164" fontId="8" fillId="3" borderId="26" xfId="0" applyNumberFormat="1" applyFont="1" applyFill="1" applyBorder="1" applyAlignment="1">
      <alignment horizontal="right"/>
    </xf>
    <xf numFmtId="164" fontId="8" fillId="3" borderId="29" xfId="0" applyNumberFormat="1" applyFont="1" applyFill="1" applyBorder="1" applyAlignment="1">
      <alignment horizontal="right"/>
    </xf>
    <xf numFmtId="164" fontId="8" fillId="3" borderId="42" xfId="0" applyNumberFormat="1" applyFont="1" applyFill="1" applyBorder="1" applyAlignment="1">
      <alignment horizontal="right"/>
    </xf>
    <xf numFmtId="164" fontId="8" fillId="3" borderId="56" xfId="0" applyNumberFormat="1" applyFont="1" applyFill="1" applyBorder="1" applyAlignment="1">
      <alignment horizontal="right"/>
    </xf>
    <xf numFmtId="164" fontId="8" fillId="3" borderId="30" xfId="0" applyNumberFormat="1" applyFont="1" applyFill="1" applyBorder="1" applyAlignment="1">
      <alignment horizontal="right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164" fontId="7" fillId="0" borderId="29" xfId="0" applyNumberFormat="1" applyFont="1" applyBorder="1" applyAlignment="1">
      <alignment horizontal="center" vertical="center"/>
    </xf>
    <xf numFmtId="0" fontId="8" fillId="13" borderId="5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60" xfId="0" applyNumberFormat="1" applyFont="1" applyBorder="1" applyAlignment="1">
      <alignment horizontal="center" vertical="center"/>
    </xf>
    <xf numFmtId="164" fontId="7" fillId="0" borderId="48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164" fontId="7" fillId="0" borderId="7" xfId="0" applyNumberFormat="1" applyFont="1" applyBorder="1" applyProtection="1">
      <protection locked="0"/>
    </xf>
    <xf numFmtId="164" fontId="7" fillId="0" borderId="63" xfId="0" applyNumberFormat="1" applyFont="1" applyBorder="1" applyProtection="1">
      <protection locked="0"/>
    </xf>
    <xf numFmtId="164" fontId="7" fillId="13" borderId="63" xfId="0" applyNumberFormat="1" applyFont="1" applyFill="1" applyBorder="1" applyProtection="1">
      <protection locked="0"/>
    </xf>
    <xf numFmtId="164" fontId="7" fillId="13" borderId="55" xfId="0" applyNumberFormat="1" applyFont="1" applyFill="1" applyBorder="1" applyProtection="1">
      <protection locked="0"/>
    </xf>
    <xf numFmtId="164" fontId="7" fillId="0" borderId="55" xfId="0" applyNumberFormat="1" applyFont="1" applyBorder="1" applyProtection="1">
      <protection locked="0"/>
    </xf>
    <xf numFmtId="164" fontId="7" fillId="0" borderId="13" xfId="0" applyNumberFormat="1" applyFont="1" applyBorder="1" applyAlignment="1">
      <alignment horizontal="right"/>
    </xf>
    <xf numFmtId="164" fontId="7" fillId="0" borderId="4" xfId="0" applyNumberFormat="1" applyFont="1" applyBorder="1" applyProtection="1">
      <protection locked="0"/>
    </xf>
    <xf numFmtId="164" fontId="7" fillId="13" borderId="4" xfId="0" applyNumberFormat="1" applyFont="1" applyFill="1" applyBorder="1" applyProtection="1">
      <protection locked="0"/>
    </xf>
    <xf numFmtId="164" fontId="7" fillId="0" borderId="2" xfId="0" applyNumberFormat="1" applyFont="1" applyBorder="1" applyProtection="1">
      <protection locked="0"/>
    </xf>
    <xf numFmtId="164" fontId="7" fillId="0" borderId="62" xfId="0" applyNumberFormat="1" applyFont="1" applyBorder="1" applyProtection="1">
      <protection locked="0"/>
    </xf>
    <xf numFmtId="164" fontId="7" fillId="13" borderId="62" xfId="0" applyNumberFormat="1" applyFont="1" applyFill="1" applyBorder="1" applyProtection="1">
      <protection locked="0"/>
    </xf>
    <xf numFmtId="164" fontId="7" fillId="13" borderId="54" xfId="0" applyNumberFormat="1" applyFont="1" applyFill="1" applyBorder="1" applyProtection="1">
      <protection locked="0"/>
    </xf>
    <xf numFmtId="164" fontId="7" fillId="0" borderId="54" xfId="0" applyNumberFormat="1" applyFont="1" applyBorder="1" applyProtection="1">
      <protection locked="0"/>
    </xf>
    <xf numFmtId="164" fontId="7" fillId="0" borderId="49" xfId="0" applyNumberFormat="1" applyFont="1" applyBorder="1" applyProtection="1">
      <protection locked="0"/>
    </xf>
    <xf numFmtId="164" fontId="7" fillId="19" borderId="4" xfId="0" applyNumberFormat="1" applyFont="1" applyFill="1" applyBorder="1" applyProtection="1">
      <protection locked="0"/>
    </xf>
    <xf numFmtId="164" fontId="7" fillId="19" borderId="49" xfId="0" applyNumberFormat="1" applyFont="1" applyFill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49" xfId="0" applyFont="1" applyBorder="1" applyProtection="1">
      <protection locked="0"/>
    </xf>
    <xf numFmtId="164" fontId="7" fillId="0" borderId="40" xfId="0" applyNumberFormat="1" applyFont="1" applyBorder="1" applyProtection="1">
      <protection locked="0"/>
    </xf>
    <xf numFmtId="164" fontId="7" fillId="13" borderId="39" xfId="0" applyNumberFormat="1" applyFont="1" applyFill="1" applyBorder="1" applyProtection="1">
      <protection locked="0"/>
    </xf>
    <xf numFmtId="164" fontId="7" fillId="13" borderId="57" xfId="0" applyNumberFormat="1" applyFont="1" applyFill="1" applyBorder="1" applyProtection="1">
      <protection locked="0"/>
    </xf>
    <xf numFmtId="164" fontId="7" fillId="0" borderId="57" xfId="0" applyNumberFormat="1" applyFont="1" applyBorder="1" applyProtection="1">
      <protection locked="0"/>
    </xf>
    <xf numFmtId="164" fontId="7" fillId="0" borderId="11" xfId="0" applyNumberFormat="1" applyFont="1" applyBorder="1" applyProtection="1">
      <protection locked="0"/>
    </xf>
    <xf numFmtId="164" fontId="7" fillId="19" borderId="11" xfId="0" applyNumberFormat="1" applyFont="1" applyFill="1" applyBorder="1" applyProtection="1">
      <protection locked="0"/>
    </xf>
    <xf numFmtId="164" fontId="8" fillId="5" borderId="34" xfId="0" applyNumberFormat="1" applyFont="1" applyFill="1" applyBorder="1"/>
    <xf numFmtId="164" fontId="7" fillId="5" borderId="63" xfId="0" applyNumberFormat="1" applyFont="1" applyFill="1" applyBorder="1" applyProtection="1">
      <protection locked="0"/>
    </xf>
    <xf numFmtId="164" fontId="7" fillId="5" borderId="59" xfId="0" applyNumberFormat="1" applyFont="1" applyFill="1" applyBorder="1" applyProtection="1">
      <protection locked="0"/>
    </xf>
    <xf numFmtId="164" fontId="7" fillId="5" borderId="53" xfId="0" applyNumberFormat="1" applyFont="1" applyFill="1" applyBorder="1" applyProtection="1">
      <protection locked="0"/>
    </xf>
    <xf numFmtId="164" fontId="8" fillId="5" borderId="56" xfId="0" applyNumberFormat="1" applyFont="1" applyFill="1" applyBorder="1"/>
    <xf numFmtId="164" fontId="8" fillId="5" borderId="3" xfId="0" applyNumberFormat="1" applyFont="1" applyFill="1" applyBorder="1"/>
    <xf numFmtId="164" fontId="7" fillId="5" borderId="55" xfId="0" applyNumberFormat="1" applyFont="1" applyFill="1" applyBorder="1" applyProtection="1">
      <protection locked="0"/>
    </xf>
    <xf numFmtId="165" fontId="17" fillId="9" borderId="39" xfId="0" applyNumberFormat="1" applyFont="1" applyFill="1" applyBorder="1"/>
    <xf numFmtId="0" fontId="2" fillId="14" borderId="35" xfId="0" applyFont="1" applyFill="1" applyBorder="1"/>
    <xf numFmtId="0" fontId="2" fillId="14" borderId="42" xfId="0" applyFont="1" applyFill="1" applyBorder="1"/>
    <xf numFmtId="0" fontId="27" fillId="8" borderId="0" xfId="0" applyFont="1" applyFill="1"/>
    <xf numFmtId="164" fontId="8" fillId="0" borderId="31" xfId="0" applyNumberFormat="1" applyFont="1" applyBorder="1" applyProtection="1">
      <protection locked="0"/>
    </xf>
    <xf numFmtId="164" fontId="8" fillId="0" borderId="32" xfId="0" applyNumberFormat="1" applyFont="1" applyBorder="1" applyProtection="1">
      <protection locked="0"/>
    </xf>
    <xf numFmtId="164" fontId="8" fillId="0" borderId="20" xfId="0" applyNumberFormat="1" applyFont="1" applyBorder="1" applyProtection="1">
      <protection locked="0"/>
    </xf>
    <xf numFmtId="164" fontId="8" fillId="8" borderId="0" xfId="0" applyNumberFormat="1" applyFont="1" applyFill="1"/>
    <xf numFmtId="164" fontId="28" fillId="8" borderId="0" xfId="0" applyNumberFormat="1" applyFont="1" applyFill="1" applyAlignment="1">
      <alignment horizontal="right"/>
    </xf>
    <xf numFmtId="164" fontId="8" fillId="8" borderId="0" xfId="0" applyNumberFormat="1" applyFont="1" applyFill="1" applyProtection="1">
      <protection locked="0"/>
    </xf>
    <xf numFmtId="164" fontId="8" fillId="19" borderId="31" xfId="0" applyNumberFormat="1" applyFont="1" applyFill="1" applyBorder="1" applyProtection="1">
      <protection locked="0"/>
    </xf>
    <xf numFmtId="164" fontId="29" fillId="14" borderId="34" xfId="0" applyNumberFormat="1" applyFont="1" applyFill="1" applyBorder="1" applyAlignment="1" applyProtection="1">
      <alignment horizontal="center" wrapText="1"/>
      <protection locked="0"/>
    </xf>
    <xf numFmtId="164" fontId="29" fillId="14" borderId="19" xfId="0" applyNumberFormat="1" applyFont="1" applyFill="1" applyBorder="1" applyAlignment="1">
      <alignment horizontal="center" wrapText="1"/>
    </xf>
    <xf numFmtId="164" fontId="29" fillId="8" borderId="0" xfId="0" applyNumberFormat="1" applyFont="1" applyFill="1" applyAlignment="1">
      <alignment horizontal="center" vertical="center" wrapText="1"/>
    </xf>
    <xf numFmtId="164" fontId="8" fillId="0" borderId="48" xfId="0" applyNumberFormat="1" applyFont="1" applyBorder="1" applyProtection="1">
      <protection locked="0"/>
    </xf>
    <xf numFmtId="164" fontId="8" fillId="8" borderId="0" xfId="0" applyNumberFormat="1" applyFont="1" applyFill="1" applyAlignment="1" applyProtection="1">
      <alignment horizontal="right"/>
      <protection locked="0"/>
    </xf>
    <xf numFmtId="164" fontId="8" fillId="12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 applyProtection="1">
      <alignment horizontal="right"/>
      <protection locked="0"/>
    </xf>
    <xf numFmtId="164" fontId="8" fillId="0" borderId="1" xfId="0" applyNumberFormat="1" applyFont="1" applyBorder="1"/>
    <xf numFmtId="164" fontId="8" fillId="19" borderId="1" xfId="0" applyNumberFormat="1" applyFont="1" applyFill="1" applyBorder="1" applyAlignment="1" applyProtection="1">
      <alignment horizontal="right"/>
      <protection locked="0"/>
    </xf>
    <xf numFmtId="164" fontId="8" fillId="0" borderId="1" xfId="0" applyNumberFormat="1" applyFont="1" applyBorder="1" applyProtection="1">
      <protection locked="0"/>
    </xf>
    <xf numFmtId="0" fontId="8" fillId="12" borderId="12" xfId="0" applyFont="1" applyFill="1" applyBorder="1" applyAlignment="1">
      <alignment horizontal="left"/>
    </xf>
    <xf numFmtId="0" fontId="8" fillId="12" borderId="39" xfId="0" applyFont="1" applyFill="1" applyBorder="1" applyAlignment="1">
      <alignment horizontal="left"/>
    </xf>
    <xf numFmtId="164" fontId="8" fillId="0" borderId="39" xfId="0" applyNumberFormat="1" applyFont="1" applyBorder="1" applyAlignment="1" applyProtection="1">
      <alignment horizontal="left"/>
      <protection locked="0"/>
    </xf>
    <xf numFmtId="0" fontId="7" fillId="0" borderId="22" xfId="0" applyFont="1" applyBorder="1"/>
    <xf numFmtId="0" fontId="7" fillId="0" borderId="0" xfId="0" applyFont="1"/>
    <xf numFmtId="0" fontId="7" fillId="0" borderId="2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22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2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23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10" fontId="8" fillId="0" borderId="30" xfId="0" applyNumberFormat="1" applyFont="1" applyBorder="1" applyAlignment="1" applyProtection="1">
      <alignment horizontal="center" vertical="center" wrapText="1"/>
    </xf>
    <xf numFmtId="0" fontId="8" fillId="4" borderId="28" xfId="0" applyFont="1" applyFill="1" applyBorder="1" applyAlignment="1" applyProtection="1">
      <alignment horizontal="center" vertical="center" wrapText="1"/>
    </xf>
    <xf numFmtId="0" fontId="8" fillId="4" borderId="26" xfId="0" applyFont="1" applyFill="1" applyBorder="1" applyAlignment="1" applyProtection="1">
      <alignment horizontal="center" vertical="center" wrapText="1"/>
    </xf>
    <xf numFmtId="0" fontId="8" fillId="4" borderId="29" xfId="0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10" fontId="8" fillId="0" borderId="14" xfId="0" applyNumberFormat="1" applyFont="1" applyBorder="1" applyAlignment="1" applyProtection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</xf>
    <xf numFmtId="0" fontId="8" fillId="3" borderId="42" xfId="0" applyFont="1" applyFill="1" applyBorder="1" applyAlignment="1" applyProtection="1">
      <alignment horizontal="center" vertical="center" wrapText="1"/>
    </xf>
    <xf numFmtId="0" fontId="8" fillId="3" borderId="56" xfId="0" applyFont="1" applyFill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164" fontId="7" fillId="0" borderId="27" xfId="0" applyNumberFormat="1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164" fontId="7" fillId="0" borderId="20" xfId="0" applyNumberFormat="1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10" fontId="8" fillId="0" borderId="21" xfId="0" applyNumberFormat="1" applyFont="1" applyBorder="1" applyAlignment="1" applyProtection="1">
      <alignment horizontal="center" vertical="center" wrapText="1"/>
    </xf>
    <xf numFmtId="164" fontId="7" fillId="11" borderId="51" xfId="0" applyNumberFormat="1" applyFont="1" applyFill="1" applyBorder="1" applyAlignment="1" applyProtection="1">
      <alignment horizontal="right"/>
    </xf>
    <xf numFmtId="164" fontId="7" fillId="11" borderId="9" xfId="0" applyNumberFormat="1" applyFont="1" applyFill="1" applyBorder="1" applyAlignment="1" applyProtection="1">
      <alignment horizontal="right"/>
    </xf>
    <xf numFmtId="164" fontId="7" fillId="0" borderId="9" xfId="0" applyNumberFormat="1" applyFont="1" applyFill="1" applyBorder="1" applyAlignment="1" applyProtection="1">
      <alignment horizontal="right"/>
      <protection locked="0"/>
    </xf>
    <xf numFmtId="164" fontId="7" fillId="0" borderId="8" xfId="0" applyNumberFormat="1" applyFont="1" applyFill="1" applyBorder="1" applyAlignment="1" applyProtection="1">
      <alignment horizontal="right"/>
      <protection locked="0"/>
    </xf>
    <xf numFmtId="164" fontId="7" fillId="0" borderId="23" xfId="0" applyNumberFormat="1" applyFont="1" applyFill="1" applyBorder="1" applyAlignment="1" applyProtection="1">
      <alignment horizontal="right"/>
      <protection locked="0"/>
    </xf>
    <xf numFmtId="164" fontId="7" fillId="0" borderId="23" xfId="0" applyNumberFormat="1" applyFont="1" applyFill="1" applyBorder="1" applyAlignment="1" applyProtection="1">
      <alignment horizontal="right"/>
    </xf>
    <xf numFmtId="167" fontId="7" fillId="11" borderId="51" xfId="0" applyNumberFormat="1" applyFont="1" applyFill="1" applyBorder="1" applyAlignment="1" applyProtection="1">
      <alignment horizontal="right"/>
    </xf>
    <xf numFmtId="167" fontId="7" fillId="11" borderId="9" xfId="0" applyNumberFormat="1" applyFont="1" applyFill="1" applyBorder="1" applyAlignment="1" applyProtection="1">
      <alignment horizontal="right"/>
    </xf>
    <xf numFmtId="167" fontId="7" fillId="0" borderId="9" xfId="0" applyNumberFormat="1" applyFont="1" applyFill="1" applyBorder="1" applyAlignment="1" applyProtection="1">
      <alignment horizontal="right"/>
      <protection locked="0"/>
    </xf>
    <xf numFmtId="167" fontId="7" fillId="0" borderId="8" xfId="0" applyNumberFormat="1" applyFont="1" applyFill="1" applyBorder="1" applyAlignment="1" applyProtection="1">
      <alignment horizontal="right"/>
      <protection locked="0"/>
    </xf>
    <xf numFmtId="167" fontId="7" fillId="0" borderId="23" xfId="0" applyNumberFormat="1" applyFont="1" applyFill="1" applyBorder="1" applyAlignment="1" applyProtection="1">
      <alignment horizontal="right"/>
      <protection locked="0"/>
    </xf>
    <xf numFmtId="167" fontId="7" fillId="0" borderId="23" xfId="0" applyNumberFormat="1" applyFont="1" applyFill="1" applyBorder="1" applyAlignment="1" applyProtection="1">
      <alignment horizontal="right"/>
    </xf>
    <xf numFmtId="164" fontId="7" fillId="11" borderId="1" xfId="0" applyNumberFormat="1" applyFont="1" applyFill="1" applyBorder="1" applyAlignment="1" applyProtection="1">
      <alignment horizontal="right"/>
    </xf>
    <xf numFmtId="164" fontId="7" fillId="0" borderId="43" xfId="0" applyNumberFormat="1" applyFont="1" applyFill="1" applyBorder="1" applyAlignment="1" applyProtection="1">
      <alignment horizontal="right"/>
      <protection locked="0"/>
    </xf>
    <xf numFmtId="167" fontId="7" fillId="10" borderId="49" xfId="0" applyNumberFormat="1" applyFont="1" applyFill="1" applyBorder="1" applyAlignment="1" applyProtection="1">
      <alignment horizontal="right"/>
      <protection locked="0"/>
    </xf>
    <xf numFmtId="167" fontId="7" fillId="11" borderId="1" xfId="0" applyNumberFormat="1" applyFont="1" applyFill="1" applyBorder="1" applyAlignment="1" applyProtection="1">
      <alignment horizontal="right"/>
    </xf>
    <xf numFmtId="167" fontId="7" fillId="0" borderId="43" xfId="0" applyNumberFormat="1" applyFont="1" applyFill="1" applyBorder="1" applyAlignment="1" applyProtection="1">
      <alignment horizontal="right"/>
      <protection locked="0"/>
    </xf>
    <xf numFmtId="167" fontId="7" fillId="2" borderId="23" xfId="0" applyNumberFormat="1" applyFont="1" applyFill="1" applyBorder="1" applyAlignment="1" applyProtection="1">
      <alignment horizontal="right"/>
      <protection locked="0"/>
    </xf>
    <xf numFmtId="167" fontId="7" fillId="5" borderId="49" xfId="0" applyNumberFormat="1" applyFont="1" applyFill="1" applyBorder="1" applyAlignment="1" applyProtection="1">
      <alignment horizontal="right"/>
      <protection locked="0"/>
    </xf>
    <xf numFmtId="167" fontId="7" fillId="2" borderId="15" xfId="0" applyNumberFormat="1" applyFont="1" applyFill="1" applyBorder="1" applyAlignment="1" applyProtection="1">
      <alignment horizontal="right"/>
      <protection locked="0"/>
    </xf>
    <xf numFmtId="164" fontId="7" fillId="11" borderId="49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7" fontId="7" fillId="11" borderId="49" xfId="0" applyNumberFormat="1" applyFont="1" applyFill="1" applyBorder="1" applyAlignment="1" applyProtection="1">
      <alignment horizontal="right"/>
    </xf>
    <xf numFmtId="167" fontId="7" fillId="0" borderId="1" xfId="0" applyNumberFormat="1" applyFont="1" applyFill="1" applyBorder="1" applyAlignment="1" applyProtection="1">
      <alignment horizontal="right"/>
      <protection locked="0"/>
    </xf>
    <xf numFmtId="167" fontId="7" fillId="0" borderId="1" xfId="0" applyNumberFormat="1" applyFont="1" applyBorder="1" applyAlignment="1" applyProtection="1">
      <alignment horizontal="right"/>
      <protection locked="0"/>
    </xf>
    <xf numFmtId="167" fontId="7" fillId="0" borderId="23" xfId="0" applyNumberFormat="1" applyFont="1" applyBorder="1" applyAlignment="1" applyProtection="1">
      <alignment horizontal="right"/>
      <protection locked="0"/>
    </xf>
    <xf numFmtId="167" fontId="7" fillId="0" borderId="15" xfId="0" applyNumberFormat="1" applyFont="1" applyBorder="1" applyAlignment="1" applyProtection="1">
      <alignment horizontal="right"/>
      <protection locked="0"/>
    </xf>
    <xf numFmtId="164" fontId="7" fillId="11" borderId="11" xfId="0" applyNumberFormat="1" applyFont="1" applyFill="1" applyBorder="1" applyAlignment="1" applyProtection="1">
      <alignment horizontal="right"/>
    </xf>
    <xf numFmtId="164" fontId="7" fillId="11" borderId="44" xfId="0" applyNumberFormat="1" applyFont="1" applyFill="1" applyBorder="1" applyAlignment="1" applyProtection="1">
      <alignment horizontal="right"/>
    </xf>
    <xf numFmtId="164" fontId="7" fillId="0" borderId="12" xfId="0" applyNumberFormat="1" applyFont="1" applyFill="1" applyBorder="1" applyAlignment="1" applyProtection="1">
      <alignment horizontal="right"/>
      <protection locked="0"/>
    </xf>
    <xf numFmtId="164" fontId="7" fillId="0" borderId="14" xfId="0" applyNumberFormat="1" applyFont="1" applyFill="1" applyBorder="1" applyAlignment="1" applyProtection="1">
      <alignment horizontal="right"/>
    </xf>
    <xf numFmtId="167" fontId="7" fillId="11" borderId="11" xfId="0" applyNumberFormat="1" applyFont="1" applyFill="1" applyBorder="1" applyAlignment="1" applyProtection="1">
      <alignment horizontal="right"/>
    </xf>
    <xf numFmtId="167" fontId="7" fillId="11" borderId="44" xfId="0" applyNumberFormat="1" applyFont="1" applyFill="1" applyBorder="1" applyAlignment="1" applyProtection="1">
      <alignment horizontal="right"/>
    </xf>
    <xf numFmtId="167" fontId="7" fillId="0" borderId="44" xfId="0" applyNumberFormat="1" applyFont="1" applyBorder="1" applyAlignment="1" applyProtection="1">
      <alignment horizontal="right"/>
      <protection locked="0"/>
    </xf>
    <xf numFmtId="167" fontId="7" fillId="0" borderId="12" xfId="0" applyNumberFormat="1" applyFont="1" applyFill="1" applyBorder="1" applyAlignment="1" applyProtection="1">
      <alignment horizontal="right"/>
      <protection locked="0"/>
    </xf>
    <xf numFmtId="167" fontId="7" fillId="0" borderId="16" xfId="0" applyNumberFormat="1" applyFont="1" applyBorder="1" applyAlignment="1" applyProtection="1">
      <alignment horizontal="right"/>
      <protection locked="0"/>
    </xf>
    <xf numFmtId="167" fontId="7" fillId="0" borderId="14" xfId="0" applyNumberFormat="1" applyFont="1" applyFill="1" applyBorder="1" applyAlignment="1" applyProtection="1">
      <alignment horizontal="right"/>
    </xf>
    <xf numFmtId="164" fontId="8" fillId="3" borderId="25" xfId="0" applyNumberFormat="1" applyFont="1" applyFill="1" applyBorder="1" applyAlignment="1" applyProtection="1">
      <alignment horizontal="right"/>
    </xf>
    <xf numFmtId="164" fontId="8" fillId="3" borderId="26" xfId="0" applyNumberFormat="1" applyFont="1" applyFill="1" applyBorder="1" applyAlignment="1" applyProtection="1">
      <alignment horizontal="right"/>
    </xf>
    <xf numFmtId="164" fontId="8" fillId="3" borderId="29" xfId="0" applyNumberFormat="1" applyFont="1" applyFill="1" applyBorder="1" applyAlignment="1" applyProtection="1">
      <alignment horizontal="right"/>
    </xf>
    <xf numFmtId="164" fontId="8" fillId="3" borderId="30" xfId="0" applyNumberFormat="1" applyFont="1" applyFill="1" applyBorder="1" applyAlignment="1" applyProtection="1">
      <alignment horizontal="right"/>
    </xf>
    <xf numFmtId="167" fontId="8" fillId="3" borderId="25" xfId="0" applyNumberFormat="1" applyFont="1" applyFill="1" applyBorder="1" applyAlignment="1" applyProtection="1">
      <alignment horizontal="right"/>
    </xf>
    <xf numFmtId="167" fontId="8" fillId="3" borderId="26" xfId="0" applyNumberFormat="1" applyFont="1" applyFill="1" applyBorder="1" applyAlignment="1" applyProtection="1">
      <alignment horizontal="right"/>
    </xf>
    <xf numFmtId="167" fontId="8" fillId="3" borderId="29" xfId="0" applyNumberFormat="1" applyFont="1" applyFill="1" applyBorder="1" applyAlignment="1" applyProtection="1">
      <alignment horizontal="right"/>
    </xf>
    <xf numFmtId="167" fontId="8" fillId="3" borderId="30" xfId="0" applyNumberFormat="1" applyFont="1" applyFill="1" applyBorder="1" applyAlignment="1" applyProtection="1">
      <alignment horizontal="right"/>
    </xf>
    <xf numFmtId="10" fontId="8" fillId="0" borderId="30" xfId="0" applyNumberFormat="1" applyFont="1" applyFill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/>
    </xf>
    <xf numFmtId="0" fontId="8" fillId="0" borderId="42" xfId="0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 vertical="center"/>
    </xf>
    <xf numFmtId="0" fontId="25" fillId="0" borderId="53" xfId="0" applyFont="1" applyFill="1" applyBorder="1" applyAlignment="1" applyProtection="1">
      <alignment horizontal="center" vertical="center"/>
    </xf>
    <xf numFmtId="167" fontId="8" fillId="0" borderId="41" xfId="0" applyNumberFormat="1" applyFont="1" applyBorder="1" applyAlignment="1" applyProtection="1">
      <alignment horizontal="center"/>
    </xf>
    <xf numFmtId="167" fontId="8" fillId="0" borderId="42" xfId="0" applyNumberFormat="1" applyFont="1" applyBorder="1" applyAlignment="1" applyProtection="1">
      <alignment horizontal="center"/>
    </xf>
    <xf numFmtId="167" fontId="7" fillId="0" borderId="27" xfId="0" applyNumberFormat="1" applyFont="1" applyBorder="1" applyAlignment="1" applyProtection="1">
      <alignment horizontal="center" vertical="center"/>
    </xf>
    <xf numFmtId="167" fontId="7" fillId="0" borderId="30" xfId="0" applyNumberFormat="1" applyFont="1" applyBorder="1" applyAlignment="1" applyProtection="1">
      <alignment horizontal="center" vertical="center"/>
    </xf>
    <xf numFmtId="167" fontId="25" fillId="0" borderId="53" xfId="0" applyNumberFormat="1" applyFont="1" applyFill="1" applyBorder="1" applyAlignment="1" applyProtection="1">
      <alignment horizontal="center" vertical="center"/>
    </xf>
    <xf numFmtId="10" fontId="8" fillId="0" borderId="14" xfId="0" applyNumberFormat="1" applyFont="1" applyFill="1" applyBorder="1" applyAlignment="1" applyProtection="1">
      <alignment horizontal="center" vertical="center" wrapText="1"/>
    </xf>
    <xf numFmtId="0" fontId="26" fillId="0" borderId="34" xfId="0" applyFont="1" applyBorder="1" applyAlignment="1" applyProtection="1">
      <alignment horizontal="center"/>
    </xf>
    <xf numFmtId="0" fontId="26" fillId="0" borderId="18" xfId="0" applyFont="1" applyBorder="1" applyAlignment="1" applyProtection="1">
      <alignment horizontal="center"/>
    </xf>
    <xf numFmtId="0" fontId="26" fillId="0" borderId="35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 vertical="center"/>
    </xf>
    <xf numFmtId="0" fontId="25" fillId="0" borderId="48" xfId="0" applyFont="1" applyFill="1" applyBorder="1" applyAlignment="1" applyProtection="1">
      <alignment horizontal="center" vertical="center"/>
    </xf>
    <xf numFmtId="167" fontId="26" fillId="0" borderId="34" xfId="0" applyNumberFormat="1" applyFont="1" applyBorder="1" applyAlignment="1" applyProtection="1">
      <alignment horizontal="center"/>
    </xf>
    <xf numFmtId="167" fontId="26" fillId="0" borderId="18" xfId="0" applyNumberFormat="1" applyFont="1" applyBorder="1" applyAlignment="1" applyProtection="1">
      <alignment horizontal="center"/>
    </xf>
    <xf numFmtId="167" fontId="26" fillId="0" borderId="35" xfId="0" applyNumberFormat="1" applyFont="1" applyBorder="1" applyAlignment="1" applyProtection="1">
      <alignment horizontal="center"/>
    </xf>
    <xf numFmtId="167" fontId="7" fillId="0" borderId="20" xfId="0" applyNumberFormat="1" applyFont="1" applyBorder="1" applyAlignment="1" applyProtection="1">
      <alignment horizontal="center" vertical="center"/>
    </xf>
    <xf numFmtId="167" fontId="7" fillId="0" borderId="21" xfId="0" applyNumberFormat="1" applyFont="1" applyBorder="1" applyAlignment="1" applyProtection="1">
      <alignment horizontal="center" vertical="center"/>
    </xf>
    <xf numFmtId="167" fontId="25" fillId="0" borderId="48" xfId="0" applyNumberFormat="1" applyFont="1" applyFill="1" applyBorder="1" applyAlignment="1" applyProtection="1">
      <alignment horizontal="center" vertical="center"/>
    </xf>
    <xf numFmtId="10" fontId="8" fillId="0" borderId="21" xfId="0" applyNumberFormat="1" applyFont="1" applyFill="1" applyBorder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right"/>
    </xf>
    <xf numFmtId="165" fontId="7" fillId="0" borderId="4" xfId="0" applyNumberFormat="1" applyFont="1" applyBorder="1" applyProtection="1">
      <protection locked="0"/>
    </xf>
    <xf numFmtId="165" fontId="7" fillId="0" borderId="7" xfId="0" applyNumberFormat="1" applyFont="1" applyBorder="1" applyProtection="1">
      <protection locked="0"/>
    </xf>
    <xf numFmtId="167" fontId="7" fillId="0" borderId="55" xfId="0" applyNumberFormat="1" applyFont="1" applyBorder="1" applyProtection="1">
      <protection locked="0"/>
    </xf>
    <xf numFmtId="167" fontId="7" fillId="0" borderId="13" xfId="0" applyNumberFormat="1" applyFont="1" applyFill="1" applyBorder="1" applyAlignment="1" applyProtection="1">
      <alignment horizontal="right"/>
    </xf>
    <xf numFmtId="164" fontId="7" fillId="0" borderId="2" xfId="0" applyNumberFormat="1" applyFont="1" applyFill="1" applyBorder="1" applyProtection="1">
      <protection locked="0"/>
    </xf>
    <xf numFmtId="164" fontId="7" fillId="0" borderId="54" xfId="0" applyNumberFormat="1" applyFont="1" applyFill="1" applyBorder="1" applyProtection="1">
      <protection locked="0"/>
    </xf>
    <xf numFmtId="165" fontId="7" fillId="0" borderId="49" xfId="0" applyNumberFormat="1" applyFont="1" applyFill="1" applyBorder="1" applyProtection="1">
      <protection locked="0"/>
    </xf>
    <xf numFmtId="165" fontId="7" fillId="0" borderId="2" xfId="0" applyNumberFormat="1" applyFont="1" applyFill="1" applyBorder="1" applyProtection="1">
      <protection locked="0"/>
    </xf>
    <xf numFmtId="167" fontId="7" fillId="0" borderId="54" xfId="0" applyNumberFormat="1" applyFont="1" applyBorder="1" applyProtection="1">
      <protection locked="0"/>
    </xf>
    <xf numFmtId="167" fontId="7" fillId="0" borderId="54" xfId="0" applyNumberFormat="1" applyFont="1" applyFill="1" applyBorder="1" applyProtection="1">
      <protection locked="0"/>
    </xf>
    <xf numFmtId="164" fontId="7" fillId="0" borderId="49" xfId="0" applyNumberFormat="1" applyFont="1" applyFill="1" applyBorder="1" applyProtection="1">
      <protection locked="0"/>
    </xf>
    <xf numFmtId="165" fontId="7" fillId="0" borderId="49" xfId="0" applyNumberFormat="1" applyFont="1" applyBorder="1" applyProtection="1">
      <protection locked="0"/>
    </xf>
    <xf numFmtId="165" fontId="7" fillId="0" borderId="2" xfId="0" applyNumberFormat="1" applyFont="1" applyBorder="1" applyProtection="1">
      <protection locked="0"/>
    </xf>
    <xf numFmtId="164" fontId="7" fillId="0" borderId="2" xfId="0" applyNumberFormat="1" applyFont="1" applyBorder="1" applyAlignment="1" applyProtection="1">
      <protection locked="0"/>
    </xf>
    <xf numFmtId="165" fontId="7" fillId="0" borderId="11" xfId="0" applyNumberFormat="1" applyFont="1" applyBorder="1" applyProtection="1">
      <protection locked="0"/>
    </xf>
    <xf numFmtId="165" fontId="7" fillId="0" borderId="40" xfId="0" applyNumberFormat="1" applyFont="1" applyBorder="1" applyProtection="1">
      <protection locked="0"/>
    </xf>
    <xf numFmtId="167" fontId="7" fillId="0" borderId="57" xfId="0" applyNumberFormat="1" applyFont="1" applyBorder="1" applyProtection="1">
      <protection locked="0"/>
    </xf>
    <xf numFmtId="164" fontId="8" fillId="5" borderId="34" xfId="0" applyNumberFormat="1" applyFont="1" applyFill="1" applyBorder="1" applyProtection="1"/>
    <xf numFmtId="164" fontId="8" fillId="5" borderId="56" xfId="0" applyNumberFormat="1" applyFont="1" applyFill="1" applyBorder="1" applyProtection="1"/>
    <xf numFmtId="164" fontId="8" fillId="5" borderId="3" xfId="0" applyNumberFormat="1" applyFont="1" applyFill="1" applyBorder="1" applyProtection="1"/>
    <xf numFmtId="165" fontId="8" fillId="5" borderId="34" xfId="0" applyNumberFormat="1" applyFont="1" applyFill="1" applyBorder="1" applyProtection="1"/>
    <xf numFmtId="167" fontId="7" fillId="5" borderId="55" xfId="0" applyNumberFormat="1" applyFont="1" applyFill="1" applyBorder="1" applyProtection="1">
      <protection locked="0"/>
    </xf>
    <xf numFmtId="167" fontId="8" fillId="5" borderId="56" xfId="0" applyNumberFormat="1" applyFont="1" applyFill="1" applyBorder="1" applyProtection="1"/>
    <xf numFmtId="164" fontId="8" fillId="14" borderId="34" xfId="0" applyNumberFormat="1" applyFont="1" applyFill="1" applyBorder="1" applyProtection="1">
      <protection locked="0"/>
    </xf>
    <xf numFmtId="164" fontId="8" fillId="14" borderId="18" xfId="0" applyNumberFormat="1" applyFont="1" applyFill="1" applyBorder="1" applyProtection="1"/>
    <xf numFmtId="164" fontId="8" fillId="14" borderId="19" xfId="0" applyNumberFormat="1" applyFont="1" applyFill="1" applyBorder="1" applyProtection="1"/>
    <xf numFmtId="164" fontId="8" fillId="8" borderId="0" xfId="0" applyNumberFormat="1" applyFont="1" applyFill="1" applyBorder="1" applyProtection="1"/>
    <xf numFmtId="164" fontId="28" fillId="8" borderId="0" xfId="0" applyNumberFormat="1" applyFont="1" applyFill="1" applyBorder="1" applyAlignment="1" applyProtection="1">
      <alignment horizontal="right"/>
    </xf>
    <xf numFmtId="0" fontId="7" fillId="8" borderId="0" xfId="0" applyFont="1" applyFill="1" applyBorder="1"/>
    <xf numFmtId="164" fontId="8" fillId="0" borderId="31" xfId="0" applyNumberFormat="1" applyFont="1" applyFill="1" applyBorder="1" applyProtection="1">
      <protection locked="0"/>
    </xf>
    <xf numFmtId="164" fontId="8" fillId="0" borderId="32" xfId="0" applyNumberFormat="1" applyFont="1" applyFill="1" applyBorder="1" applyProtection="1">
      <protection locked="0"/>
    </xf>
    <xf numFmtId="164" fontId="8" fillId="0" borderId="20" xfId="0" applyNumberFormat="1" applyFont="1" applyFill="1" applyBorder="1" applyProtection="1">
      <protection locked="0"/>
    </xf>
    <xf numFmtId="164" fontId="8" fillId="8" borderId="0" xfId="0" applyNumberFormat="1" applyFont="1" applyFill="1" applyBorder="1" applyProtection="1">
      <protection locked="0"/>
    </xf>
    <xf numFmtId="164" fontId="29" fillId="14" borderId="19" xfId="0" applyNumberFormat="1" applyFont="1" applyFill="1" applyBorder="1" applyAlignment="1" applyProtection="1">
      <alignment horizontal="center" wrapText="1"/>
    </xf>
    <xf numFmtId="164" fontId="29" fillId="8" borderId="0" xfId="0" applyNumberFormat="1" applyFont="1" applyFill="1" applyBorder="1" applyAlignment="1" applyProtection="1">
      <alignment horizontal="center" vertical="center" wrapText="1"/>
    </xf>
    <xf numFmtId="164" fontId="8" fillId="0" borderId="48" xfId="0" applyNumberFormat="1" applyFont="1" applyFill="1" applyBorder="1" applyProtection="1">
      <protection locked="0"/>
    </xf>
    <xf numFmtId="164" fontId="8" fillId="8" borderId="0" xfId="0" applyNumberFormat="1" applyFont="1" applyFill="1" applyBorder="1" applyAlignment="1" applyProtection="1">
      <alignment horizontal="right"/>
      <protection locked="0"/>
    </xf>
    <xf numFmtId="164" fontId="8" fillId="12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0" fontId="0" fillId="8" borderId="0" xfId="0" applyFont="1" applyFill="1"/>
    <xf numFmtId="164" fontId="8" fillId="0" borderId="1" xfId="0" applyNumberFormat="1" applyFont="1" applyFill="1" applyBorder="1" applyProtection="1">
      <protection locked="0"/>
    </xf>
    <xf numFmtId="164" fontId="8" fillId="0" borderId="39" xfId="0" applyNumberFormat="1" applyFont="1" applyFill="1" applyBorder="1" applyAlignment="1" applyProtection="1">
      <alignment horizontal="left"/>
      <protection locked="0"/>
    </xf>
    <xf numFmtId="164" fontId="0" fillId="13" borderId="51" xfId="0" applyNumberFormat="1" applyFill="1" applyBorder="1" applyAlignment="1">
      <alignment horizontal="right"/>
    </xf>
    <xf numFmtId="164" fontId="0" fillId="13" borderId="9" xfId="0" applyNumberFormat="1" applyFill="1" applyBorder="1" applyAlignment="1">
      <alignment horizontal="right"/>
    </xf>
    <xf numFmtId="164" fontId="0" fillId="13" borderId="9" xfId="0" applyNumberFormat="1" applyFill="1" applyBorder="1" applyAlignment="1" applyProtection="1">
      <alignment horizontal="right"/>
      <protection locked="0"/>
    </xf>
    <xf numFmtId="164" fontId="0" fillId="13" borderId="23" xfId="0" applyNumberFormat="1" applyFill="1" applyBorder="1" applyAlignment="1" applyProtection="1">
      <alignment horizontal="right"/>
      <protection locked="0"/>
    </xf>
    <xf numFmtId="164" fontId="0" fillId="13" borderId="49" xfId="0" applyNumberFormat="1" applyFill="1" applyBorder="1" applyAlignment="1" applyProtection="1">
      <alignment horizontal="right"/>
      <protection locked="0"/>
    </xf>
    <xf numFmtId="164" fontId="0" fillId="13" borderId="1" xfId="0" applyNumberFormat="1" applyFill="1" applyBorder="1" applyAlignment="1">
      <alignment horizontal="right"/>
    </xf>
    <xf numFmtId="164" fontId="6" fillId="13" borderId="49" xfId="0" applyNumberFormat="1" applyFont="1" applyFill="1" applyBorder="1" applyAlignment="1" applyProtection="1">
      <alignment horizontal="right"/>
      <protection locked="0"/>
    </xf>
    <xf numFmtId="164" fontId="6" fillId="13" borderId="1" xfId="0" applyNumberFormat="1" applyFont="1" applyFill="1" applyBorder="1" applyAlignment="1">
      <alignment horizontal="right"/>
    </xf>
    <xf numFmtId="164" fontId="0" fillId="13" borderId="15" xfId="0" applyNumberFormat="1" applyFill="1" applyBorder="1" applyAlignment="1" applyProtection="1">
      <alignment horizontal="right"/>
      <protection locked="0"/>
    </xf>
    <xf numFmtId="164" fontId="0" fillId="13" borderId="49" xfId="0" applyNumberFormat="1" applyFill="1" applyBorder="1" applyAlignment="1">
      <alignment horizontal="right"/>
    </xf>
    <xf numFmtId="164" fontId="6" fillId="13" borderId="49" xfId="0" applyNumberFormat="1" applyFont="1" applyFill="1" applyBorder="1" applyAlignment="1">
      <alignment horizontal="right"/>
    </xf>
    <xf numFmtId="164" fontId="0" fillId="13" borderId="1" xfId="0" applyNumberFormat="1" applyFill="1" applyBorder="1" applyAlignment="1" applyProtection="1">
      <alignment horizontal="right"/>
      <protection locked="0"/>
    </xf>
    <xf numFmtId="164" fontId="0" fillId="13" borderId="11" xfId="0" applyNumberFormat="1" applyFill="1" applyBorder="1" applyAlignment="1">
      <alignment horizontal="right"/>
    </xf>
    <xf numFmtId="164" fontId="0" fillId="13" borderId="44" xfId="0" applyNumberFormat="1" applyFill="1" applyBorder="1" applyAlignment="1">
      <alignment horizontal="right"/>
    </xf>
    <xf numFmtId="164" fontId="0" fillId="13" borderId="44" xfId="0" applyNumberFormat="1" applyFill="1" applyBorder="1" applyAlignment="1" applyProtection="1">
      <alignment horizontal="right"/>
      <protection locked="0"/>
    </xf>
    <xf numFmtId="164" fontId="0" fillId="13" borderId="16" xfId="0" applyNumberFormat="1" applyFill="1" applyBorder="1" applyAlignment="1" applyProtection="1">
      <alignment horizontal="right"/>
      <protection locked="0"/>
    </xf>
    <xf numFmtId="164" fontId="0" fillId="13" borderId="4" xfId="0" applyNumberFormat="1" applyFill="1" applyBorder="1" applyProtection="1">
      <protection locked="0"/>
    </xf>
    <xf numFmtId="164" fontId="0" fillId="13" borderId="7" xfId="0" applyNumberFormat="1" applyFill="1" applyBorder="1" applyProtection="1">
      <protection locked="0"/>
    </xf>
    <xf numFmtId="164" fontId="0" fillId="13" borderId="55" xfId="0" applyNumberFormat="1" applyFill="1" applyBorder="1" applyProtection="1">
      <protection locked="0"/>
    </xf>
    <xf numFmtId="164" fontId="0" fillId="13" borderId="49" xfId="0" applyNumberFormat="1" applyFill="1" applyBorder="1" applyProtection="1">
      <protection locked="0"/>
    </xf>
    <xf numFmtId="164" fontId="0" fillId="13" borderId="2" xfId="0" applyNumberFormat="1" applyFill="1" applyBorder="1" applyProtection="1">
      <protection locked="0"/>
    </xf>
    <xf numFmtId="164" fontId="0" fillId="13" borderId="54" xfId="0" applyNumberFormat="1" applyFill="1" applyBorder="1" applyProtection="1">
      <protection locked="0"/>
    </xf>
    <xf numFmtId="168" fontId="0" fillId="0" borderId="2" xfId="0" applyNumberFormat="1" applyBorder="1" applyProtection="1">
      <protection locked="0"/>
    </xf>
    <xf numFmtId="0" fontId="0" fillId="13" borderId="49" xfId="0" applyFill="1" applyBorder="1" applyProtection="1">
      <protection locked="0"/>
    </xf>
    <xf numFmtId="164" fontId="0" fillId="13" borderId="11" xfId="0" applyNumberFormat="1" applyFill="1" applyBorder="1" applyProtection="1">
      <protection locked="0"/>
    </xf>
    <xf numFmtId="164" fontId="0" fillId="13" borderId="40" xfId="0" applyNumberFormat="1" applyFill="1" applyBorder="1" applyProtection="1">
      <protection locked="0"/>
    </xf>
    <xf numFmtId="164" fontId="0" fillId="13" borderId="57" xfId="0" applyNumberFormat="1" applyFill="1" applyBorder="1" applyProtection="1"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64" xfId="0" applyNumberFormat="1" applyFont="1" applyFill="1" applyBorder="1" applyAlignment="1" applyProtection="1">
      <alignment horizontal="right"/>
      <protection locked="0"/>
    </xf>
    <xf numFmtId="164" fontId="0" fillId="0" borderId="61" xfId="0" applyNumberFormat="1" applyFont="1" applyBorder="1" applyAlignment="1" applyProtection="1">
      <alignment horizontal="right"/>
      <protection locked="0"/>
    </xf>
  </cellXfs>
  <cellStyles count="4">
    <cellStyle name="Neutrální 2" xfId="3"/>
    <cellStyle name="Normální" xfId="0" builtinId="0"/>
    <cellStyle name="Normální 2" xfId="1"/>
    <cellStyle name="normální_Tabulka školy, návrh rozpočtu" xfId="2"/>
  </cellStyles>
  <dxfs count="72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g\Documents\TSMCH\Rozbory\Rozbory%20n&#225;klad&#367;%20a%20v&#253;nos&#367;%20-%20hlavn&#237;%20&#269;innost%20-%20rok%202022%20-%201-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g\Documents\TSMCH\Rozbory%20hospoda&#345;en&#237;\Rozbor%20hospoda&#345;en&#237;%202023\Vyhodnocen&#237;%20hospoda&#345;en&#237;%20podle%20rozpo&#269;tu%20za%201.%20pololet&#237;%202023%20-%20TSMC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g\Documents\TSMCH\Pl&#225;n%202023\NR%202023%20+%20SVR%202024-25%20-%202.%20verze%20+%20mosty,%20l&#225;vky%20a%20podcho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 hospodaření PO"/>
      <sheetName val="Vyhod. hosp. PO -střediska"/>
      <sheetName val="List1"/>
      <sheetName val="HČ - SKUT 2022"/>
      <sheetName val="101"/>
      <sheetName val="102"/>
      <sheetName val="103"/>
      <sheetName val="104"/>
      <sheetName val="105"/>
      <sheetName val="108"/>
      <sheetName val="200"/>
      <sheetName val="201"/>
      <sheetName val="202"/>
      <sheetName val="204"/>
      <sheetName val="205"/>
      <sheetName val="206"/>
      <sheetName val="208+209"/>
      <sheetName val="210"/>
      <sheetName val="211"/>
      <sheetName val="Rozbory"/>
      <sheetName val="HČ - SKUT 2016"/>
      <sheetName val="HČ - SKUT 2015"/>
      <sheetName val="HČ - SKUT 2014"/>
      <sheetName val="HČ - SKUT 2013"/>
      <sheetName val="HČ - SKUT 2012"/>
      <sheetName val="HČ - SKUT 2011"/>
      <sheetName val="Měsíční náklady"/>
      <sheetName val="pomocné 203+211"/>
      <sheetName val="Výnosy bez střediska"/>
      <sheetName val="10104"/>
      <sheetName val="203"/>
      <sheetName val="1090204"/>
      <sheetName val="1100206"/>
      <sheetName val="310210"/>
    </sheetNames>
    <sheetDataSet>
      <sheetData sheetId="0">
        <row r="15">
          <cell r="P15">
            <v>0</v>
          </cell>
          <cell r="Q15">
            <v>0</v>
          </cell>
          <cell r="R15">
            <v>22597609.690000001</v>
          </cell>
          <cell r="T15">
            <v>18760452.899999999</v>
          </cell>
        </row>
        <row r="16">
          <cell r="P16">
            <v>158169064</v>
          </cell>
          <cell r="Q16">
            <v>0</v>
          </cell>
          <cell r="R16">
            <v>0</v>
          </cell>
          <cell r="T16">
            <v>0</v>
          </cell>
        </row>
        <row r="17">
          <cell r="P17">
            <v>0</v>
          </cell>
          <cell r="Q17">
            <v>0</v>
          </cell>
          <cell r="R17">
            <v>0</v>
          </cell>
          <cell r="T17">
            <v>0</v>
          </cell>
        </row>
        <row r="18">
          <cell r="P18">
            <v>20000</v>
          </cell>
          <cell r="Q18">
            <v>0</v>
          </cell>
          <cell r="R18">
            <v>0</v>
          </cell>
          <cell r="T18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T19">
            <v>0</v>
          </cell>
        </row>
        <row r="20">
          <cell r="P20">
            <v>0</v>
          </cell>
          <cell r="Q20">
            <v>0</v>
          </cell>
          <cell r="R20">
            <v>1373412.87</v>
          </cell>
          <cell r="T20">
            <v>0</v>
          </cell>
        </row>
        <row r="21">
          <cell r="P21">
            <v>0</v>
          </cell>
          <cell r="Q21">
            <v>0</v>
          </cell>
          <cell r="R21">
            <v>3710925.0500000003</v>
          </cell>
          <cell r="T21">
            <v>15319.050000000001</v>
          </cell>
        </row>
        <row r="22">
          <cell r="P22">
            <v>0</v>
          </cell>
          <cell r="Q22">
            <v>0</v>
          </cell>
          <cell r="R22">
            <v>0</v>
          </cell>
          <cell r="T22">
            <v>0</v>
          </cell>
        </row>
        <row r="23">
          <cell r="P23">
            <v>289256.20999999996</v>
          </cell>
          <cell r="Q23">
            <v>0</v>
          </cell>
          <cell r="R23">
            <v>289256.20999999996</v>
          </cell>
          <cell r="T23">
            <v>0</v>
          </cell>
        </row>
        <row r="28">
          <cell r="P28">
            <v>5824244.957958594</v>
          </cell>
          <cell r="Q28">
            <v>0</v>
          </cell>
          <cell r="R28">
            <v>832109.71204140631</v>
          </cell>
          <cell r="T28">
            <v>47702.67</v>
          </cell>
        </row>
        <row r="29">
          <cell r="P29">
            <v>12420241.464104768</v>
          </cell>
          <cell r="Q29">
            <v>0</v>
          </cell>
          <cell r="R29">
            <v>1774479.5458952312</v>
          </cell>
          <cell r="T29">
            <v>2759743.47</v>
          </cell>
        </row>
        <row r="30">
          <cell r="P30">
            <v>15561282.692801224</v>
          </cell>
          <cell r="Q30">
            <v>0</v>
          </cell>
          <cell r="R30">
            <v>2223240.0171987759</v>
          </cell>
          <cell r="T30">
            <v>144582.79999999999</v>
          </cell>
        </row>
        <row r="31">
          <cell r="P31">
            <v>30764210.778203163</v>
          </cell>
          <cell r="Q31">
            <v>0</v>
          </cell>
          <cell r="R31">
            <v>4395281.9217968332</v>
          </cell>
          <cell r="T31">
            <v>4292766.88</v>
          </cell>
        </row>
        <row r="32">
          <cell r="P32">
            <v>52484220.416837104</v>
          </cell>
          <cell r="Q32">
            <v>0</v>
          </cell>
          <cell r="R32">
            <v>7498419.0831629001</v>
          </cell>
          <cell r="T32">
            <v>3371925.5</v>
          </cell>
        </row>
        <row r="33">
          <cell r="P33">
            <v>51387011.608221069</v>
          </cell>
          <cell r="Q33">
            <v>0</v>
          </cell>
          <cell r="R33">
            <v>7341660.891778932</v>
          </cell>
          <cell r="T33">
            <v>3371925.5</v>
          </cell>
        </row>
        <row r="34">
          <cell r="P34">
            <v>1097208.8086160324</v>
          </cell>
          <cell r="Q34">
            <v>0</v>
          </cell>
          <cell r="R34">
            <v>156758.19138396755</v>
          </cell>
          <cell r="T34">
            <v>0</v>
          </cell>
        </row>
        <row r="35">
          <cell r="P35">
            <v>18555941.293421376</v>
          </cell>
          <cell r="Q35">
            <v>0</v>
          </cell>
          <cell r="R35">
            <v>2651086.8065786245</v>
          </cell>
          <cell r="T35">
            <v>1251830.19</v>
          </cell>
        </row>
        <row r="36">
          <cell r="P36">
            <v>104091.33405436974</v>
          </cell>
          <cell r="Q36">
            <v>0</v>
          </cell>
          <cell r="R36">
            <v>14871.525945630259</v>
          </cell>
          <cell r="T36">
            <v>20404.010000000002</v>
          </cell>
        </row>
        <row r="37">
          <cell r="P37">
            <v>12841822.09177958</v>
          </cell>
          <cell r="Q37">
            <v>0</v>
          </cell>
          <cell r="R37">
            <v>1834710.7582204214</v>
          </cell>
          <cell r="T37">
            <v>991593.15</v>
          </cell>
        </row>
        <row r="38">
          <cell r="P38">
            <v>14996152.497748507</v>
          </cell>
          <cell r="Q38">
            <v>0</v>
          </cell>
          <cell r="R38">
            <v>2142499.8822515598</v>
          </cell>
          <cell r="T38">
            <v>620647.82999999996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hodnocení hosp. 1.pol. 2023"/>
    </sheetNames>
    <sheetDataSet>
      <sheetData sheetId="0">
        <row r="15">
          <cell r="J15">
            <v>0</v>
          </cell>
          <cell r="K15">
            <v>0</v>
          </cell>
          <cell r="L15">
            <v>16690000</v>
          </cell>
          <cell r="N15">
            <v>17100000</v>
          </cell>
          <cell r="P15">
            <v>0</v>
          </cell>
          <cell r="Q15">
            <v>0</v>
          </cell>
          <cell r="R15">
            <v>11786260.800000001</v>
          </cell>
          <cell r="T15">
            <v>11079422.609999999</v>
          </cell>
        </row>
        <row r="16">
          <cell r="J16">
            <v>169016600</v>
          </cell>
          <cell r="K16">
            <v>0</v>
          </cell>
          <cell r="L16">
            <v>0</v>
          </cell>
          <cell r="N16">
            <v>0</v>
          </cell>
          <cell r="P16">
            <v>84508300</v>
          </cell>
          <cell r="Q16">
            <v>0</v>
          </cell>
          <cell r="R16">
            <v>0</v>
          </cell>
          <cell r="T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</row>
        <row r="20">
          <cell r="J20">
            <v>0</v>
          </cell>
          <cell r="K20">
            <v>0</v>
          </cell>
          <cell r="L20">
            <v>3770000</v>
          </cell>
          <cell r="N20">
            <v>0</v>
          </cell>
          <cell r="P20">
            <v>0</v>
          </cell>
          <cell r="Q20">
            <v>0</v>
          </cell>
          <cell r="R20">
            <v>287260.17</v>
          </cell>
          <cell r="T20">
            <v>0</v>
          </cell>
        </row>
        <row r="21">
          <cell r="J21">
            <v>0</v>
          </cell>
          <cell r="K21">
            <v>0</v>
          </cell>
          <cell r="L21">
            <v>3200000</v>
          </cell>
          <cell r="N21">
            <v>0</v>
          </cell>
          <cell r="P21">
            <v>0</v>
          </cell>
          <cell r="Q21">
            <v>0</v>
          </cell>
          <cell r="R21">
            <v>2163636.34</v>
          </cell>
          <cell r="T21">
            <v>47477.33</v>
          </cell>
        </row>
        <row r="22">
          <cell r="J22">
            <v>0</v>
          </cell>
          <cell r="K22">
            <v>0</v>
          </cell>
          <cell r="L22">
            <v>200000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T22">
            <v>0</v>
          </cell>
        </row>
        <row r="23">
          <cell r="J23">
            <v>0</v>
          </cell>
          <cell r="K23">
            <v>0</v>
          </cell>
          <cell r="L23">
            <v>250000</v>
          </cell>
          <cell r="N23">
            <v>0</v>
          </cell>
          <cell r="P23">
            <v>546454.55000000005</v>
          </cell>
          <cell r="Q23">
            <v>0</v>
          </cell>
          <cell r="R23">
            <v>546454.55000000005</v>
          </cell>
          <cell r="T23">
            <v>0</v>
          </cell>
        </row>
        <row r="28">
          <cell r="J28">
            <v>5880000</v>
          </cell>
          <cell r="K28">
            <v>0</v>
          </cell>
          <cell r="L28">
            <v>1020000</v>
          </cell>
          <cell r="N28">
            <v>30000</v>
          </cell>
          <cell r="P28">
            <v>3638154.9783049845</v>
          </cell>
          <cell r="Q28">
            <v>0</v>
          </cell>
          <cell r="R28">
            <v>507408.66169501567</v>
          </cell>
          <cell r="T28">
            <v>115740.87</v>
          </cell>
        </row>
        <row r="29">
          <cell r="J29">
            <v>10212966</v>
          </cell>
          <cell r="K29">
            <v>0</v>
          </cell>
          <cell r="L29">
            <v>1430000</v>
          </cell>
          <cell r="N29">
            <v>2300000</v>
          </cell>
          <cell r="P29">
            <v>5382899.6124114431</v>
          </cell>
          <cell r="Q29">
            <v>0</v>
          </cell>
          <cell r="R29">
            <v>750745.8875885586</v>
          </cell>
          <cell r="T29">
            <v>1324062.8199999998</v>
          </cell>
        </row>
        <row r="30">
          <cell r="J30">
            <v>19011472</v>
          </cell>
          <cell r="K30">
            <v>0</v>
          </cell>
          <cell r="L30">
            <v>1700000</v>
          </cell>
          <cell r="N30">
            <v>70000</v>
          </cell>
          <cell r="P30">
            <v>5961359.690587135</v>
          </cell>
          <cell r="Q30">
            <v>0</v>
          </cell>
          <cell r="R30">
            <v>831422.9494128658</v>
          </cell>
          <cell r="T30">
            <v>80275.89</v>
          </cell>
        </row>
        <row r="31">
          <cell r="J31">
            <v>34404789</v>
          </cell>
          <cell r="K31">
            <v>0</v>
          </cell>
          <cell r="L31">
            <v>5000000</v>
          </cell>
          <cell r="N31">
            <v>4000000</v>
          </cell>
          <cell r="P31">
            <v>17366046.832794771</v>
          </cell>
          <cell r="Q31">
            <v>0</v>
          </cell>
          <cell r="R31">
            <v>2422019.5772052351</v>
          </cell>
          <cell r="T31">
            <v>2397177.1000000006</v>
          </cell>
        </row>
        <row r="32">
          <cell r="J32">
            <v>59010348</v>
          </cell>
          <cell r="K32">
            <v>0</v>
          </cell>
          <cell r="L32">
            <v>8100000</v>
          </cell>
          <cell r="N32">
            <v>3300000</v>
          </cell>
          <cell r="P32">
            <v>28981131.877841227</v>
          </cell>
          <cell r="Q32">
            <v>0</v>
          </cell>
          <cell r="R32">
            <v>4041960.1221587756</v>
          </cell>
          <cell r="T32">
            <v>1917061</v>
          </cell>
        </row>
        <row r="33">
          <cell r="J33">
            <v>58110348</v>
          </cell>
          <cell r="K33">
            <v>0</v>
          </cell>
          <cell r="L33">
            <v>7900000</v>
          </cell>
          <cell r="N33">
            <v>3300000</v>
          </cell>
          <cell r="P33">
            <v>28525921.471051563</v>
          </cell>
          <cell r="Q33">
            <v>0</v>
          </cell>
          <cell r="R33">
            <v>3978472.5289484393</v>
          </cell>
          <cell r="T33">
            <v>1917061</v>
          </cell>
        </row>
        <row r="34">
          <cell r="J34">
            <v>900000</v>
          </cell>
          <cell r="K34">
            <v>0</v>
          </cell>
          <cell r="L34">
            <v>200000</v>
          </cell>
          <cell r="N34">
            <v>0</v>
          </cell>
          <cell r="P34">
            <v>455210.40678966366</v>
          </cell>
          <cell r="Q34">
            <v>0</v>
          </cell>
          <cell r="R34">
            <v>63487.593210336352</v>
          </cell>
          <cell r="T34">
            <v>0</v>
          </cell>
        </row>
        <row r="35">
          <cell r="J35">
            <v>19817618</v>
          </cell>
          <cell r="K35">
            <v>0</v>
          </cell>
          <cell r="L35">
            <v>2670000</v>
          </cell>
          <cell r="N35">
            <v>1150000</v>
          </cell>
          <cell r="P35">
            <v>10317882.585880863</v>
          </cell>
          <cell r="Q35">
            <v>0</v>
          </cell>
          <cell r="R35">
            <v>1439021.434119137</v>
          </cell>
          <cell r="T35">
            <v>718034.92999999993</v>
          </cell>
        </row>
        <row r="36">
          <cell r="J36">
            <v>60000</v>
          </cell>
          <cell r="K36">
            <v>0</v>
          </cell>
          <cell r="L36">
            <v>10000</v>
          </cell>
          <cell r="N36">
            <v>250000</v>
          </cell>
          <cell r="P36">
            <v>49581.898246385688</v>
          </cell>
          <cell r="Q36">
            <v>0</v>
          </cell>
          <cell r="R36">
            <v>6915.1217536143122</v>
          </cell>
          <cell r="T36">
            <v>3623.28</v>
          </cell>
        </row>
        <row r="37">
          <cell r="J37">
            <v>17516407</v>
          </cell>
          <cell r="K37">
            <v>0</v>
          </cell>
          <cell r="L37">
            <v>2250000</v>
          </cell>
          <cell r="N37">
            <v>1000000</v>
          </cell>
          <cell r="P37">
            <v>7772294.9638218619</v>
          </cell>
          <cell r="Q37">
            <v>0</v>
          </cell>
          <cell r="R37">
            <v>1083991.6961781392</v>
          </cell>
          <cell r="T37">
            <v>1125507.01</v>
          </cell>
        </row>
        <row r="38">
          <cell r="J38">
            <v>6200000</v>
          </cell>
          <cell r="K38">
            <v>0</v>
          </cell>
          <cell r="L38">
            <v>1100000</v>
          </cell>
          <cell r="N38">
            <v>2283000</v>
          </cell>
          <cell r="P38">
            <v>8518374.4192111194</v>
          </cell>
          <cell r="Q38">
            <v>0</v>
          </cell>
          <cell r="R38">
            <v>1188046.4107888904</v>
          </cell>
          <cell r="T38">
            <v>1272546.56</v>
          </cell>
        </row>
        <row r="51">
          <cell r="E51">
            <v>4000</v>
          </cell>
          <cell r="F51">
            <v>0</v>
          </cell>
        </row>
        <row r="52">
          <cell r="E52">
            <v>9982</v>
          </cell>
          <cell r="F52">
            <v>15380</v>
          </cell>
        </row>
        <row r="53">
          <cell r="E53">
            <v>0</v>
          </cell>
          <cell r="F53">
            <v>0</v>
          </cell>
        </row>
        <row r="54">
          <cell r="E54">
            <v>688</v>
          </cell>
          <cell r="F54">
            <v>648</v>
          </cell>
        </row>
        <row r="57">
          <cell r="E57">
            <v>188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51">
          <cell r="V51">
            <v>198936.75</v>
          </cell>
          <cell r="W51">
            <v>0</v>
          </cell>
          <cell r="X51">
            <v>0</v>
          </cell>
          <cell r="Y51">
            <v>198936.75</v>
          </cell>
        </row>
        <row r="52">
          <cell r="V52">
            <v>5511407</v>
          </cell>
          <cell r="W52">
            <v>20766407</v>
          </cell>
          <cell r="X52">
            <v>20886270</v>
          </cell>
          <cell r="Y52">
            <v>5391544</v>
          </cell>
        </row>
        <row r="53"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V54">
            <v>190132.56000000006</v>
          </cell>
          <cell r="W54">
            <v>1408206.96</v>
          </cell>
          <cell r="X54">
            <v>1400000</v>
          </cell>
          <cell r="Y54">
            <v>198339.52000000002</v>
          </cell>
        </row>
        <row r="57">
          <cell r="V57">
            <v>185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D276"/>
  <sheetViews>
    <sheetView showGridLines="0" zoomScale="80" zoomScaleNormal="80" zoomScaleSheetLayoutView="80" workbookViewId="0">
      <selection activeCell="B32" sqref="B32:AB3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105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176" t="s">
        <v>106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184" t="s">
        <v>107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3080.5</v>
      </c>
      <c r="G15" s="63">
        <f>SUM(D15:F15)</f>
        <v>3080.5</v>
      </c>
      <c r="H15" s="66">
        <v>0</v>
      </c>
      <c r="I15" s="14">
        <f>G15+H15</f>
        <v>3080.5</v>
      </c>
      <c r="J15" s="160"/>
      <c r="K15" s="161"/>
      <c r="L15" s="162">
        <v>3004</v>
      </c>
      <c r="M15" s="63">
        <f t="shared" ref="M15:M23" si="0">SUM(J15:L15)</f>
        <v>3004</v>
      </c>
      <c r="N15" s="66">
        <v>0</v>
      </c>
      <c r="O15" s="14">
        <f>M15+N15</f>
        <v>3004</v>
      </c>
      <c r="P15" s="12"/>
      <c r="Q15" s="13"/>
      <c r="R15" s="56">
        <v>1578.6</v>
      </c>
      <c r="S15" s="63">
        <f>SUM(P15:R15)</f>
        <v>1578.6</v>
      </c>
      <c r="T15" s="66">
        <v>0</v>
      </c>
      <c r="U15" s="14">
        <f>S15+T15</f>
        <v>1578.6</v>
      </c>
      <c r="V15" s="12"/>
      <c r="W15" s="13"/>
      <c r="X15" s="56">
        <v>3009</v>
      </c>
      <c r="Y15" s="63">
        <f>SUM(V15:X15)</f>
        <v>3009</v>
      </c>
      <c r="Z15" s="66">
        <v>0</v>
      </c>
      <c r="AA15" s="14">
        <f>Y15+Z15</f>
        <v>3009</v>
      </c>
      <c r="AB15" s="147">
        <f>(AA15/O15)</f>
        <v>1.0016644474034619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26431.200000000001</v>
      </c>
      <c r="E16" s="16"/>
      <c r="F16" s="16"/>
      <c r="G16" s="64">
        <f t="shared" ref="G16:G23" si="1">SUM(D16:F16)</f>
        <v>26431.200000000001</v>
      </c>
      <c r="H16" s="67"/>
      <c r="I16" s="14">
        <f t="shared" ref="I16:I23" si="2">G16+H16</f>
        <v>26431.200000000001</v>
      </c>
      <c r="J16" s="163">
        <v>28618</v>
      </c>
      <c r="K16" s="164"/>
      <c r="L16" s="164"/>
      <c r="M16" s="64">
        <f t="shared" si="0"/>
        <v>28618</v>
      </c>
      <c r="N16" s="67"/>
      <c r="O16" s="14">
        <f t="shared" ref="O16:O20" si="3">M16+N16</f>
        <v>28618</v>
      </c>
      <c r="P16" s="57">
        <v>14309</v>
      </c>
      <c r="Q16" s="16"/>
      <c r="R16" s="16"/>
      <c r="S16" s="64">
        <f t="shared" ref="S16:S23" si="4">SUM(P16:R16)</f>
        <v>14309</v>
      </c>
      <c r="T16" s="67"/>
      <c r="U16" s="14">
        <f t="shared" ref="U16:U20" si="5">S16+T16</f>
        <v>14309</v>
      </c>
      <c r="V16" s="57">
        <v>29553</v>
      </c>
      <c r="W16" s="16"/>
      <c r="X16" s="16"/>
      <c r="Y16" s="64">
        <f t="shared" ref="Y16:Y23" si="6">SUM(V16:X16)</f>
        <v>29553</v>
      </c>
      <c r="Z16" s="67"/>
      <c r="AA16" s="14">
        <f t="shared" ref="AA16:AA20" si="7">Y16+Z16</f>
        <v>29553</v>
      </c>
      <c r="AB16" s="147">
        <f t="shared" ref="AB16:AB24" si="8">(AA16/O16)</f>
        <v>1.0326717450555594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/>
      <c r="E17" s="17"/>
      <c r="F17" s="17"/>
      <c r="G17" s="64">
        <f t="shared" si="1"/>
        <v>0</v>
      </c>
      <c r="H17" s="68"/>
      <c r="I17" s="14">
        <f t="shared" si="2"/>
        <v>0</v>
      </c>
      <c r="J17" s="165"/>
      <c r="K17" s="166"/>
      <c r="L17" s="166"/>
      <c r="M17" s="64">
        <f t="shared" si="0"/>
        <v>0</v>
      </c>
      <c r="N17" s="68"/>
      <c r="O17" s="14">
        <f t="shared" si="3"/>
        <v>0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58"/>
      <c r="W17" s="17"/>
      <c r="X17" s="17"/>
      <c r="Y17" s="64">
        <f t="shared" si="6"/>
        <v>0</v>
      </c>
      <c r="Z17" s="68"/>
      <c r="AA17" s="14">
        <f t="shared" si="7"/>
        <v>0</v>
      </c>
      <c r="AB17" s="147" t="e">
        <f t="shared" si="8"/>
        <v>#DIV/0!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1459.4</v>
      </c>
      <c r="F18" s="17"/>
      <c r="G18" s="64">
        <f t="shared" si="1"/>
        <v>1459.4</v>
      </c>
      <c r="H18" s="66"/>
      <c r="I18" s="14">
        <f t="shared" si="2"/>
        <v>1459.4</v>
      </c>
      <c r="J18" s="167"/>
      <c r="K18" s="168">
        <v>1300</v>
      </c>
      <c r="L18" s="166"/>
      <c r="M18" s="64">
        <f t="shared" si="0"/>
        <v>1300</v>
      </c>
      <c r="N18" s="66"/>
      <c r="O18" s="14">
        <f t="shared" si="3"/>
        <v>1300</v>
      </c>
      <c r="P18" s="18"/>
      <c r="Q18" s="59">
        <v>1555.6</v>
      </c>
      <c r="R18" s="17"/>
      <c r="S18" s="64">
        <f t="shared" si="4"/>
        <v>1555.6</v>
      </c>
      <c r="T18" s="66"/>
      <c r="U18" s="14">
        <f t="shared" si="5"/>
        <v>1555.6</v>
      </c>
      <c r="V18" s="18"/>
      <c r="W18" s="59">
        <v>1497</v>
      </c>
      <c r="X18" s="17"/>
      <c r="Y18" s="64">
        <f t="shared" si="6"/>
        <v>1497</v>
      </c>
      <c r="Z18" s="66"/>
      <c r="AA18" s="14">
        <f t="shared" si="7"/>
        <v>1497</v>
      </c>
      <c r="AB18" s="147">
        <f t="shared" si="8"/>
        <v>1.1515384615384616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>
        <v>46</v>
      </c>
      <c r="E19" s="17"/>
      <c r="F19" s="60"/>
      <c r="G19" s="64">
        <f t="shared" si="1"/>
        <v>46</v>
      </c>
      <c r="H19" s="69"/>
      <c r="I19" s="14">
        <f t="shared" si="2"/>
        <v>46</v>
      </c>
      <c r="J19" s="169">
        <v>46</v>
      </c>
      <c r="K19" s="166"/>
      <c r="L19" s="168"/>
      <c r="M19" s="64">
        <f t="shared" si="0"/>
        <v>46</v>
      </c>
      <c r="N19" s="69"/>
      <c r="O19" s="14">
        <f t="shared" si="3"/>
        <v>46</v>
      </c>
      <c r="P19" s="19">
        <v>23</v>
      </c>
      <c r="Q19" s="17"/>
      <c r="R19" s="60"/>
      <c r="S19" s="64">
        <f t="shared" si="4"/>
        <v>23</v>
      </c>
      <c r="T19" s="69"/>
      <c r="U19" s="14">
        <f t="shared" si="5"/>
        <v>23</v>
      </c>
      <c r="V19" s="19">
        <v>46</v>
      </c>
      <c r="W19" s="17"/>
      <c r="X19" s="60"/>
      <c r="Y19" s="64">
        <f t="shared" si="6"/>
        <v>46</v>
      </c>
      <c r="Z19" s="69"/>
      <c r="AA19" s="14">
        <f t="shared" si="7"/>
        <v>46</v>
      </c>
      <c r="AB19" s="147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/>
      <c r="G20" s="64"/>
      <c r="H20" s="69"/>
      <c r="I20" s="14">
        <f t="shared" si="2"/>
        <v>0</v>
      </c>
      <c r="J20" s="167"/>
      <c r="K20" s="164"/>
      <c r="L20" s="61"/>
      <c r="M20" s="64">
        <f t="shared" si="0"/>
        <v>0</v>
      </c>
      <c r="N20" s="69"/>
      <c r="O20" s="14">
        <f t="shared" si="3"/>
        <v>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61"/>
      <c r="Y20" s="64">
        <f t="shared" si="6"/>
        <v>0</v>
      </c>
      <c r="Z20" s="69"/>
      <c r="AA20" s="14">
        <f t="shared" si="7"/>
        <v>0</v>
      </c>
      <c r="AB20" s="147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425.2</v>
      </c>
      <c r="G21" s="64">
        <f t="shared" si="1"/>
        <v>425.2</v>
      </c>
      <c r="H21" s="70"/>
      <c r="I21" s="14">
        <f>G21+H21</f>
        <v>425.2</v>
      </c>
      <c r="J21" s="167"/>
      <c r="K21" s="164"/>
      <c r="L21" s="61">
        <v>395</v>
      </c>
      <c r="M21" s="64">
        <f t="shared" si="0"/>
        <v>395</v>
      </c>
      <c r="N21" s="70"/>
      <c r="O21" s="14">
        <f>M21+N21</f>
        <v>395</v>
      </c>
      <c r="P21" s="18"/>
      <c r="Q21" s="16"/>
      <c r="R21" s="61">
        <v>445.7</v>
      </c>
      <c r="S21" s="64">
        <f t="shared" si="4"/>
        <v>445.7</v>
      </c>
      <c r="T21" s="70"/>
      <c r="U21" s="14">
        <f>S21+T21</f>
        <v>445.7</v>
      </c>
      <c r="V21" s="18"/>
      <c r="W21" s="16"/>
      <c r="X21" s="61">
        <v>395</v>
      </c>
      <c r="Y21" s="64">
        <f t="shared" si="6"/>
        <v>395</v>
      </c>
      <c r="Z21" s="70"/>
      <c r="AA21" s="14">
        <f>Y21+Z21</f>
        <v>395</v>
      </c>
      <c r="AB21" s="147">
        <f t="shared" si="8"/>
        <v>1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>
        <v>687</v>
      </c>
      <c r="G22" s="64">
        <f t="shared" si="1"/>
        <v>687</v>
      </c>
      <c r="H22" s="70"/>
      <c r="I22" s="14">
        <f t="shared" si="2"/>
        <v>687</v>
      </c>
      <c r="J22" s="167"/>
      <c r="K22" s="164"/>
      <c r="L22" s="61">
        <v>730</v>
      </c>
      <c r="M22" s="64">
        <f t="shared" si="0"/>
        <v>730</v>
      </c>
      <c r="N22" s="70"/>
      <c r="O22" s="14">
        <f t="shared" ref="O22:O23" si="9">M22+N22</f>
        <v>730</v>
      </c>
      <c r="P22" s="18"/>
      <c r="Q22" s="16"/>
      <c r="R22" s="61">
        <v>343.3</v>
      </c>
      <c r="S22" s="64">
        <f t="shared" si="4"/>
        <v>343.3</v>
      </c>
      <c r="T22" s="70"/>
      <c r="U22" s="14">
        <f t="shared" ref="U22:U23" si="10">S22+T22</f>
        <v>343.3</v>
      </c>
      <c r="V22" s="18"/>
      <c r="W22" s="16"/>
      <c r="X22" s="61">
        <v>570</v>
      </c>
      <c r="Y22" s="64">
        <f t="shared" si="6"/>
        <v>570</v>
      </c>
      <c r="Z22" s="70"/>
      <c r="AA22" s="14">
        <f t="shared" ref="AA22:AA23" si="11">Y22+Z22</f>
        <v>570</v>
      </c>
      <c r="AB22" s="147">
        <f t="shared" si="8"/>
        <v>0.78082191780821919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>
        <v>31.5</v>
      </c>
      <c r="G23" s="65">
        <f t="shared" si="1"/>
        <v>31.5</v>
      </c>
      <c r="H23" s="71"/>
      <c r="I23" s="23">
        <f t="shared" si="2"/>
        <v>31.5</v>
      </c>
      <c r="J23" s="170"/>
      <c r="K23" s="171"/>
      <c r="L23" s="62">
        <v>30</v>
      </c>
      <c r="M23" s="65">
        <f t="shared" si="0"/>
        <v>30</v>
      </c>
      <c r="N23" s="71"/>
      <c r="O23" s="23">
        <f t="shared" si="9"/>
        <v>30</v>
      </c>
      <c r="P23" s="21"/>
      <c r="Q23" s="22"/>
      <c r="R23" s="62">
        <v>48.6</v>
      </c>
      <c r="S23" s="65">
        <f t="shared" si="4"/>
        <v>48.6</v>
      </c>
      <c r="T23" s="71"/>
      <c r="U23" s="23">
        <f t="shared" si="10"/>
        <v>48.6</v>
      </c>
      <c r="V23" s="21"/>
      <c r="W23" s="22"/>
      <c r="X23" s="62">
        <v>30</v>
      </c>
      <c r="Y23" s="65">
        <f t="shared" si="6"/>
        <v>30</v>
      </c>
      <c r="Z23" s="71"/>
      <c r="AA23" s="23">
        <f t="shared" si="11"/>
        <v>30</v>
      </c>
      <c r="AB23" s="150">
        <f t="shared" si="8"/>
        <v>1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26477.200000000001</v>
      </c>
      <c r="E24" s="27">
        <f>SUM(E15:E21)</f>
        <v>1459.4</v>
      </c>
      <c r="F24" s="27">
        <f>SUM(F15:F21)</f>
        <v>3505.7</v>
      </c>
      <c r="G24" s="28">
        <f>SUM(D24:F24)</f>
        <v>31442.300000000003</v>
      </c>
      <c r="H24" s="29">
        <f>SUM(H15:H21)</f>
        <v>0</v>
      </c>
      <c r="I24" s="29">
        <f>SUM(I15:I21)</f>
        <v>31442.300000000003</v>
      </c>
      <c r="J24" s="26">
        <f>SUM(J15:J21)</f>
        <v>28664</v>
      </c>
      <c r="K24" s="27">
        <f>SUM(K15:K21)</f>
        <v>1300</v>
      </c>
      <c r="L24" s="27">
        <f>SUM(L15:L21)</f>
        <v>3399</v>
      </c>
      <c r="M24" s="28">
        <f>SUM(J24:L24)</f>
        <v>33363</v>
      </c>
      <c r="N24" s="29">
        <f>SUM(N15:N21)</f>
        <v>0</v>
      </c>
      <c r="O24" s="29">
        <f>SUM(O15:O21)</f>
        <v>33363</v>
      </c>
      <c r="P24" s="26">
        <f>SUM(P15:P21)</f>
        <v>14332</v>
      </c>
      <c r="Q24" s="27">
        <f>SUM(Q15:Q21)</f>
        <v>1555.6</v>
      </c>
      <c r="R24" s="27">
        <f>SUM(R15:R21)</f>
        <v>2024.3</v>
      </c>
      <c r="S24" s="28">
        <f>SUM(P24:R24)</f>
        <v>17911.900000000001</v>
      </c>
      <c r="T24" s="29">
        <f>SUM(T15:T21)</f>
        <v>0</v>
      </c>
      <c r="U24" s="29">
        <f>SUM(U15:U21)</f>
        <v>17911.900000000001</v>
      </c>
      <c r="V24" s="26">
        <f>SUM(V15:V21)</f>
        <v>29599</v>
      </c>
      <c r="W24" s="27">
        <f>SUM(W15:W21)</f>
        <v>1497</v>
      </c>
      <c r="X24" s="27">
        <f>SUM(X15:X21)</f>
        <v>3404</v>
      </c>
      <c r="Y24" s="28">
        <f>SUM(V24:X24)</f>
        <v>34500</v>
      </c>
      <c r="Z24" s="29">
        <f>SUM(Z15:Z21)</f>
        <v>0</v>
      </c>
      <c r="AA24" s="29">
        <f>SUM(AA15:AA21)</f>
        <v>34500</v>
      </c>
      <c r="AB24" s="151">
        <f t="shared" si="8"/>
        <v>1.034079669094506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202" t="s">
        <v>68</v>
      </c>
      <c r="K25" s="203"/>
      <c r="L25" s="203"/>
      <c r="M25" s="204"/>
      <c r="N25" s="204"/>
      <c r="O25" s="20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206" t="s">
        <v>69</v>
      </c>
      <c r="K26" s="207"/>
      <c r="L26" s="207"/>
      <c r="M26" s="208" t="s">
        <v>64</v>
      </c>
      <c r="N26" s="213" t="s">
        <v>67</v>
      </c>
      <c r="O26" s="215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32" t="s">
        <v>54</v>
      </c>
      <c r="K27" s="33" t="s">
        <v>55</v>
      </c>
      <c r="L27" s="34" t="s">
        <v>56</v>
      </c>
      <c r="M27" s="209"/>
      <c r="N27" s="214"/>
      <c r="O27" s="21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174">
        <v>819.5</v>
      </c>
      <c r="E28" s="72"/>
      <c r="F28" s="72"/>
      <c r="G28" s="73">
        <f>SUM(D28:F28)</f>
        <v>819.5</v>
      </c>
      <c r="H28" s="73"/>
      <c r="I28" s="37">
        <f>G28+H28</f>
        <v>819.5</v>
      </c>
      <c r="J28" s="80">
        <v>1500</v>
      </c>
      <c r="K28" s="72"/>
      <c r="L28" s="72"/>
      <c r="M28" s="73">
        <f>SUM(J28:L28)</f>
        <v>1500</v>
      </c>
      <c r="N28" s="73"/>
      <c r="O28" s="37">
        <f>M28+N28</f>
        <v>1500</v>
      </c>
      <c r="P28" s="80">
        <v>136.1</v>
      </c>
      <c r="Q28" s="72"/>
      <c r="R28" s="72"/>
      <c r="S28" s="73">
        <f>SUM(P28:R28)</f>
        <v>136.1</v>
      </c>
      <c r="T28" s="73"/>
      <c r="U28" s="37">
        <f>S28+T28</f>
        <v>136.1</v>
      </c>
      <c r="V28" s="80">
        <v>1500</v>
      </c>
      <c r="W28" s="72"/>
      <c r="X28" s="72"/>
      <c r="Y28" s="73">
        <f>SUM(V28:X28)</f>
        <v>1500</v>
      </c>
      <c r="Z28" s="73"/>
      <c r="AA28" s="37">
        <f>Y28+Z28</f>
        <v>1500</v>
      </c>
      <c r="AB28" s="147">
        <f t="shared" ref="AB28:AB41" si="12">(AA28/O28)</f>
        <v>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174">
        <f>2764.63+452.72-E29-F29</f>
        <v>332.75000000000045</v>
      </c>
      <c r="E29" s="74">
        <f>452.7+31.9</f>
        <v>484.59999999999997</v>
      </c>
      <c r="F29" s="74">
        <v>2400</v>
      </c>
      <c r="G29" s="75">
        <f t="shared" ref="G29:G38" si="13">SUM(D29:F29)</f>
        <v>3217.3500000000004</v>
      </c>
      <c r="H29" s="76"/>
      <c r="I29" s="14">
        <f t="shared" ref="I29:I38" si="14">G29+H29</f>
        <v>3217.3500000000004</v>
      </c>
      <c r="J29" s="82">
        <v>295</v>
      </c>
      <c r="K29" s="77">
        <v>398</v>
      </c>
      <c r="L29" s="77">
        <v>2600</v>
      </c>
      <c r="M29" s="75">
        <f t="shared" ref="M29:M38" si="15">SUM(J29:L29)</f>
        <v>3293</v>
      </c>
      <c r="N29" s="76"/>
      <c r="O29" s="14">
        <f t="shared" ref="O29:O38" si="16">M29+N29</f>
        <v>3293</v>
      </c>
      <c r="P29" s="81">
        <v>64.099999999999994</v>
      </c>
      <c r="Q29" s="74">
        <v>267.7</v>
      </c>
      <c r="R29" s="74">
        <v>1120</v>
      </c>
      <c r="S29" s="75">
        <f t="shared" ref="S29:S38" si="17">SUM(P29:R29)</f>
        <v>1451.8</v>
      </c>
      <c r="T29" s="76"/>
      <c r="U29" s="14">
        <f t="shared" ref="U29:U38" si="18">S29+T29</f>
        <v>1451.8</v>
      </c>
      <c r="V29" s="81">
        <v>280</v>
      </c>
      <c r="W29" s="77">
        <v>476</v>
      </c>
      <c r="X29" s="74">
        <v>2600</v>
      </c>
      <c r="Y29" s="75">
        <f t="shared" ref="Y29:Y38" si="19">SUM(V29:X29)</f>
        <v>3356</v>
      </c>
      <c r="Z29" s="76"/>
      <c r="AA29" s="14">
        <f t="shared" ref="AA29:AA38" si="20">Y29+Z29</f>
        <v>3356</v>
      </c>
      <c r="AB29" s="147">
        <f t="shared" si="12"/>
        <v>1.0191314910416034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174">
        <v>1889.88</v>
      </c>
      <c r="E30" s="77"/>
      <c r="F30" s="77" t="s">
        <v>87</v>
      </c>
      <c r="G30" s="75">
        <f t="shared" si="13"/>
        <v>1889.88</v>
      </c>
      <c r="H30" s="75"/>
      <c r="I30" s="14">
        <f t="shared" si="14"/>
        <v>1889.88</v>
      </c>
      <c r="J30" s="82">
        <v>2400</v>
      </c>
      <c r="K30" s="77">
        <v>5</v>
      </c>
      <c r="L30" s="77"/>
      <c r="M30" s="75">
        <f t="shared" si="15"/>
        <v>2405</v>
      </c>
      <c r="N30" s="75"/>
      <c r="O30" s="14">
        <f t="shared" si="16"/>
        <v>2405</v>
      </c>
      <c r="P30" s="82">
        <v>1295.5</v>
      </c>
      <c r="Q30" s="77"/>
      <c r="R30" s="74"/>
      <c r="S30" s="75">
        <f t="shared" si="17"/>
        <v>1295.5</v>
      </c>
      <c r="T30" s="75"/>
      <c r="U30" s="14">
        <f t="shared" si="18"/>
        <v>1295.5</v>
      </c>
      <c r="V30" s="82">
        <v>1990</v>
      </c>
      <c r="W30" s="77">
        <v>5</v>
      </c>
      <c r="X30" s="77"/>
      <c r="Y30" s="75">
        <f t="shared" si="19"/>
        <v>1995</v>
      </c>
      <c r="Z30" s="75"/>
      <c r="AA30" s="14">
        <f t="shared" si="20"/>
        <v>1995</v>
      </c>
      <c r="AB30" s="147">
        <f t="shared" si="12"/>
        <v>0.82952182952182951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174">
        <f>2836.16+87.8+55.48-41.32-E31-F31</f>
        <v>2044.8199999999997</v>
      </c>
      <c r="E31" s="77">
        <f>55.5+87.8</f>
        <v>143.30000000000001</v>
      </c>
      <c r="F31" s="77">
        <v>750</v>
      </c>
      <c r="G31" s="75">
        <f t="shared" si="13"/>
        <v>2938.12</v>
      </c>
      <c r="H31" s="75"/>
      <c r="I31" s="14">
        <f t="shared" si="14"/>
        <v>2938.12</v>
      </c>
      <c r="J31" s="82">
        <v>2065</v>
      </c>
      <c r="K31" s="77">
        <v>56</v>
      </c>
      <c r="L31" s="77">
        <v>500</v>
      </c>
      <c r="M31" s="75">
        <f t="shared" si="15"/>
        <v>2621</v>
      </c>
      <c r="N31" s="75"/>
      <c r="O31" s="14">
        <f t="shared" si="16"/>
        <v>2621</v>
      </c>
      <c r="P31" s="82">
        <v>1211</v>
      </c>
      <c r="Q31" s="77">
        <v>52.6</v>
      </c>
      <c r="R31" s="74">
        <v>360</v>
      </c>
      <c r="S31" s="75">
        <f t="shared" si="17"/>
        <v>1623.6</v>
      </c>
      <c r="T31" s="75"/>
      <c r="U31" s="14">
        <f t="shared" si="18"/>
        <v>1623.6</v>
      </c>
      <c r="V31" s="82">
        <v>2315</v>
      </c>
      <c r="W31" s="77">
        <v>57</v>
      </c>
      <c r="X31" s="77">
        <v>643</v>
      </c>
      <c r="Y31" s="75">
        <f t="shared" si="19"/>
        <v>3015</v>
      </c>
      <c r="Z31" s="75"/>
      <c r="AA31" s="14">
        <f t="shared" si="20"/>
        <v>3015</v>
      </c>
      <c r="AB31" s="147">
        <f t="shared" si="12"/>
        <v>1.1503243037008775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174">
        <f>14398.45+584.45-E32</f>
        <v>14358.7</v>
      </c>
      <c r="E32" s="77">
        <f>SUM(E33:E34)</f>
        <v>624.20000000000005</v>
      </c>
      <c r="F32" s="77"/>
      <c r="G32" s="75">
        <f t="shared" si="13"/>
        <v>14982.900000000001</v>
      </c>
      <c r="H32" s="75"/>
      <c r="I32" s="14">
        <f t="shared" si="14"/>
        <v>14982.900000000001</v>
      </c>
      <c r="J32" s="172">
        <f>SUM(J33:J34)</f>
        <v>15555</v>
      </c>
      <c r="K32" s="77">
        <f>SUM(K33:K34)</f>
        <v>615</v>
      </c>
      <c r="L32" s="77"/>
      <c r="M32" s="75">
        <f t="shared" si="15"/>
        <v>16170</v>
      </c>
      <c r="N32" s="75"/>
      <c r="O32" s="14">
        <f t="shared" si="16"/>
        <v>16170</v>
      </c>
      <c r="P32" s="82">
        <f>SUM(P33:P34)</f>
        <v>7707.5</v>
      </c>
      <c r="Q32" s="77">
        <f>SUM(Q33:Q34)</f>
        <v>335.9</v>
      </c>
      <c r="R32" s="74"/>
      <c r="S32" s="75">
        <f t="shared" si="17"/>
        <v>8043.4</v>
      </c>
      <c r="T32" s="75"/>
      <c r="U32" s="14">
        <f t="shared" si="18"/>
        <v>8043.4</v>
      </c>
      <c r="V32" s="82">
        <f>SUM(V33:V34)</f>
        <v>16250</v>
      </c>
      <c r="W32" s="77">
        <f>SUM(W33:W34)</f>
        <v>705</v>
      </c>
      <c r="X32" s="77"/>
      <c r="Y32" s="75">
        <f t="shared" si="19"/>
        <v>16955</v>
      </c>
      <c r="Z32" s="75"/>
      <c r="AA32" s="14">
        <f t="shared" si="20"/>
        <v>16955</v>
      </c>
      <c r="AB32" s="147">
        <f t="shared" si="12"/>
        <v>1.0485466914038342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175">
        <f>14061.86-E33</f>
        <v>13469.76</v>
      </c>
      <c r="E33" s="77">
        <f>552.4+39.7</f>
        <v>592.1</v>
      </c>
      <c r="F33" s="77"/>
      <c r="G33" s="75">
        <f t="shared" si="13"/>
        <v>14061.86</v>
      </c>
      <c r="H33" s="75"/>
      <c r="I33" s="14">
        <f t="shared" si="14"/>
        <v>14061.86</v>
      </c>
      <c r="J33" s="172">
        <v>14400</v>
      </c>
      <c r="K33" s="77">
        <v>585</v>
      </c>
      <c r="L33" s="77"/>
      <c r="M33" s="75">
        <f t="shared" si="15"/>
        <v>14985</v>
      </c>
      <c r="N33" s="75"/>
      <c r="O33" s="14">
        <f t="shared" si="16"/>
        <v>14985</v>
      </c>
      <c r="P33" s="82">
        <v>7204.7</v>
      </c>
      <c r="Q33" s="77">
        <v>335.9</v>
      </c>
      <c r="R33" s="74"/>
      <c r="S33" s="75">
        <f t="shared" si="17"/>
        <v>7540.5999999999995</v>
      </c>
      <c r="T33" s="75"/>
      <c r="U33" s="14">
        <f t="shared" si="18"/>
        <v>7540.5999999999995</v>
      </c>
      <c r="V33" s="82">
        <v>15150</v>
      </c>
      <c r="W33" s="77">
        <v>670</v>
      </c>
      <c r="X33" s="77"/>
      <c r="Y33" s="75">
        <f t="shared" si="19"/>
        <v>15820</v>
      </c>
      <c r="Z33" s="75"/>
      <c r="AA33" s="14">
        <f t="shared" si="20"/>
        <v>15820</v>
      </c>
      <c r="AB33" s="147">
        <f t="shared" si="12"/>
        <v>1.0557223890557224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175">
        <f>921-E34</f>
        <v>888.9</v>
      </c>
      <c r="E34" s="77">
        <v>32.1</v>
      </c>
      <c r="F34" s="77"/>
      <c r="G34" s="75">
        <f t="shared" si="13"/>
        <v>921</v>
      </c>
      <c r="H34" s="75"/>
      <c r="I34" s="14">
        <f t="shared" si="14"/>
        <v>921</v>
      </c>
      <c r="J34" s="172">
        <v>1155</v>
      </c>
      <c r="K34" s="77">
        <v>30</v>
      </c>
      <c r="L34" s="77"/>
      <c r="M34" s="75">
        <f>SUM(J34:L34)</f>
        <v>1185</v>
      </c>
      <c r="N34" s="75"/>
      <c r="O34" s="14">
        <f t="shared" si="16"/>
        <v>1185</v>
      </c>
      <c r="P34" s="83">
        <v>502.8</v>
      </c>
      <c r="Q34" s="77">
        <v>0</v>
      </c>
      <c r="R34" s="74"/>
      <c r="S34" s="75">
        <f t="shared" si="17"/>
        <v>502.8</v>
      </c>
      <c r="T34" s="75"/>
      <c r="U34" s="14">
        <f t="shared" si="18"/>
        <v>502.8</v>
      </c>
      <c r="V34" s="82">
        <v>1100</v>
      </c>
      <c r="W34" s="77">
        <v>35</v>
      </c>
      <c r="X34" s="77"/>
      <c r="Y34" s="75">
        <f t="shared" si="19"/>
        <v>1135</v>
      </c>
      <c r="Z34" s="75"/>
      <c r="AA34" s="14">
        <f t="shared" si="20"/>
        <v>1135</v>
      </c>
      <c r="AB34" s="147">
        <f t="shared" si="12"/>
        <v>0.95780590717299574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174">
        <f>4527.23+183.8-E35</f>
        <v>4527.2299999999996</v>
      </c>
      <c r="E35" s="77">
        <v>183.8</v>
      </c>
      <c r="F35" s="77"/>
      <c r="G35" s="75">
        <f t="shared" si="13"/>
        <v>4711.03</v>
      </c>
      <c r="H35" s="75"/>
      <c r="I35" s="14">
        <f t="shared" si="14"/>
        <v>4711.03</v>
      </c>
      <c r="J35" s="172">
        <v>4920</v>
      </c>
      <c r="K35" s="77">
        <v>198</v>
      </c>
      <c r="L35" s="77"/>
      <c r="M35" s="75">
        <f t="shared" si="15"/>
        <v>5118</v>
      </c>
      <c r="N35" s="75"/>
      <c r="O35" s="14">
        <f t="shared" si="16"/>
        <v>5118</v>
      </c>
      <c r="P35" s="82">
        <v>2434.9</v>
      </c>
      <c r="Q35" s="77">
        <v>114.5</v>
      </c>
      <c r="R35" s="74"/>
      <c r="S35" s="75">
        <f t="shared" si="17"/>
        <v>2549.4</v>
      </c>
      <c r="T35" s="75"/>
      <c r="U35" s="14">
        <f t="shared" si="18"/>
        <v>2549.4</v>
      </c>
      <c r="V35" s="82">
        <v>5096</v>
      </c>
      <c r="W35" s="77">
        <v>226</v>
      </c>
      <c r="X35" s="77"/>
      <c r="Y35" s="75">
        <f t="shared" si="19"/>
        <v>5322</v>
      </c>
      <c r="Z35" s="75"/>
      <c r="AA35" s="14">
        <f t="shared" si="20"/>
        <v>5322</v>
      </c>
      <c r="AB35" s="147">
        <f t="shared" si="12"/>
        <v>1.0398593200468933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174">
        <v>91.53</v>
      </c>
      <c r="E36" s="77"/>
      <c r="F36" s="77"/>
      <c r="G36" s="75">
        <f t="shared" si="13"/>
        <v>91.53</v>
      </c>
      <c r="H36" s="75"/>
      <c r="I36" s="14">
        <f t="shared" si="14"/>
        <v>91.53</v>
      </c>
      <c r="J36" s="82">
        <v>20</v>
      </c>
      <c r="K36" s="77">
        <v>0</v>
      </c>
      <c r="L36" s="77"/>
      <c r="M36" s="75">
        <f t="shared" si="15"/>
        <v>20</v>
      </c>
      <c r="N36" s="75"/>
      <c r="O36" s="14">
        <f t="shared" si="16"/>
        <v>20</v>
      </c>
      <c r="P36" s="82">
        <v>21.9</v>
      </c>
      <c r="Q36" s="77"/>
      <c r="R36" s="74"/>
      <c r="S36" s="75">
        <f t="shared" si="17"/>
        <v>21.9</v>
      </c>
      <c r="T36" s="75"/>
      <c r="U36" s="14">
        <f t="shared" si="18"/>
        <v>21.9</v>
      </c>
      <c r="V36" s="82">
        <v>45</v>
      </c>
      <c r="W36" s="77">
        <v>0</v>
      </c>
      <c r="X36" s="77"/>
      <c r="Y36" s="75">
        <f t="shared" si="19"/>
        <v>45</v>
      </c>
      <c r="Z36" s="75"/>
      <c r="AA36" s="14">
        <f t="shared" si="20"/>
        <v>45</v>
      </c>
      <c r="AB36" s="147">
        <f t="shared" si="12"/>
        <v>2.25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174">
        <v>588.24</v>
      </c>
      <c r="E37" s="77"/>
      <c r="F37" s="77"/>
      <c r="G37" s="75">
        <f t="shared" si="13"/>
        <v>588.24</v>
      </c>
      <c r="H37" s="75"/>
      <c r="I37" s="14">
        <f t="shared" si="14"/>
        <v>588.24</v>
      </c>
      <c r="J37" s="82">
        <v>580</v>
      </c>
      <c r="K37" s="77">
        <v>0</v>
      </c>
      <c r="L37" s="77"/>
      <c r="M37" s="75">
        <f t="shared" si="15"/>
        <v>580</v>
      </c>
      <c r="N37" s="75"/>
      <c r="O37" s="14">
        <f t="shared" si="16"/>
        <v>580</v>
      </c>
      <c r="P37" s="82">
        <v>379.6</v>
      </c>
      <c r="Q37" s="77"/>
      <c r="R37" s="74"/>
      <c r="S37" s="75">
        <f t="shared" si="17"/>
        <v>379.6</v>
      </c>
      <c r="T37" s="75"/>
      <c r="U37" s="14">
        <f t="shared" si="18"/>
        <v>379.6</v>
      </c>
      <c r="V37" s="82">
        <v>759</v>
      </c>
      <c r="W37" s="77">
        <v>0</v>
      </c>
      <c r="X37" s="77"/>
      <c r="Y37" s="75">
        <f t="shared" si="19"/>
        <v>759</v>
      </c>
      <c r="Z37" s="75"/>
      <c r="AA37" s="14">
        <f t="shared" si="20"/>
        <v>759</v>
      </c>
      <c r="AB37" s="147">
        <f t="shared" si="12"/>
        <v>1.3086206896551724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174">
        <f>1602.84-E38-F38</f>
        <v>1223.6399999999999</v>
      </c>
      <c r="E38" s="78">
        <v>23.5</v>
      </c>
      <c r="F38" s="78">
        <v>355.7</v>
      </c>
      <c r="G38" s="75">
        <f t="shared" si="13"/>
        <v>1602.84</v>
      </c>
      <c r="H38" s="79"/>
      <c r="I38" s="23">
        <f t="shared" si="14"/>
        <v>1602.84</v>
      </c>
      <c r="J38" s="84">
        <v>1329</v>
      </c>
      <c r="K38" s="78">
        <v>28</v>
      </c>
      <c r="L38" s="78">
        <v>299</v>
      </c>
      <c r="M38" s="79">
        <f t="shared" si="15"/>
        <v>1656</v>
      </c>
      <c r="N38" s="79"/>
      <c r="O38" s="23">
        <f t="shared" si="16"/>
        <v>1656</v>
      </c>
      <c r="P38" s="84">
        <v>404.3</v>
      </c>
      <c r="Q38" s="78">
        <v>13.1</v>
      </c>
      <c r="R38" s="173">
        <v>220</v>
      </c>
      <c r="S38" s="79">
        <f t="shared" si="17"/>
        <v>637.40000000000009</v>
      </c>
      <c r="T38" s="79"/>
      <c r="U38" s="23">
        <f t="shared" si="18"/>
        <v>637.40000000000009</v>
      </c>
      <c r="V38" s="84">
        <v>1364</v>
      </c>
      <c r="W38" s="78">
        <v>28</v>
      </c>
      <c r="X38" s="78">
        <v>161</v>
      </c>
      <c r="Y38" s="79">
        <f t="shared" si="19"/>
        <v>1553</v>
      </c>
      <c r="Z38" s="79"/>
      <c r="AA38" s="23">
        <f t="shared" si="20"/>
        <v>1553</v>
      </c>
      <c r="AB38" s="150">
        <f t="shared" si="12"/>
        <v>0.9378019323671497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25876.29</v>
      </c>
      <c r="E39" s="42">
        <f>SUM(E35:E38)+SUM(E28:E32)</f>
        <v>1459.3999999999999</v>
      </c>
      <c r="F39" s="42">
        <f>SUM(F35:F38)+SUM(F28:F32)</f>
        <v>3505.7</v>
      </c>
      <c r="G39" s="146">
        <f>SUM(D39:F39)</f>
        <v>30841.390000000003</v>
      </c>
      <c r="H39" s="43">
        <f>SUM(H28:H32)+SUM(H35:H38)</f>
        <v>0</v>
      </c>
      <c r="I39" s="44">
        <f>SUM(I35:I38)+SUM(I28:I32)</f>
        <v>30841.39</v>
      </c>
      <c r="J39" s="42">
        <f>SUM(J35:J38)+SUM(J28:J32)</f>
        <v>28664</v>
      </c>
      <c r="K39" s="42">
        <f>SUM(K35:K38)+SUM(K28:K32)</f>
        <v>1300</v>
      </c>
      <c r="L39" s="42">
        <f>SUM(L35:L38)+SUM(L28:L32)</f>
        <v>3399</v>
      </c>
      <c r="M39" s="146">
        <f>SUM(J39:L39)</f>
        <v>33363</v>
      </c>
      <c r="N39" s="43">
        <f>SUM(N28:N32)+SUM(N35:N38)</f>
        <v>0</v>
      </c>
      <c r="O39" s="44">
        <f>SUM(O35:O38)+SUM(O28:O32)</f>
        <v>33363</v>
      </c>
      <c r="P39" s="42">
        <f>SUM(P35:P38)+SUM(P28:P32)</f>
        <v>13654.900000000001</v>
      </c>
      <c r="Q39" s="42">
        <f>SUM(Q35:Q38)+SUM(Q28:Q32)</f>
        <v>783.80000000000007</v>
      </c>
      <c r="R39" s="42">
        <f>SUM(R35:R38)+SUM(R28:R32)</f>
        <v>1700</v>
      </c>
      <c r="S39" s="146">
        <f>SUM(P39:R39)</f>
        <v>16138.7</v>
      </c>
      <c r="T39" s="43">
        <f>SUM(T28:T32)+SUM(T35:T38)</f>
        <v>0</v>
      </c>
      <c r="U39" s="44">
        <f>SUM(U35:U38)+SUM(U28:U32)</f>
        <v>16138.7</v>
      </c>
      <c r="V39" s="42">
        <f>SUM(V35:V38)+SUM(V28:V32)</f>
        <v>29599</v>
      </c>
      <c r="W39" s="42">
        <f>SUM(W35:W38)+SUM(W28:W32)</f>
        <v>1497</v>
      </c>
      <c r="X39" s="42">
        <f>SUM(X35:X38)+SUM(X28:X32)</f>
        <v>3404</v>
      </c>
      <c r="Y39" s="146">
        <f>SUM(V39:X39)</f>
        <v>34500</v>
      </c>
      <c r="Z39" s="43">
        <f>SUM(Z28:Z32)+SUM(Z35:Z38)</f>
        <v>0</v>
      </c>
      <c r="AA39" s="44">
        <f>SUM(AA35:AA38)+SUM(AA28:AA32)</f>
        <v>34500</v>
      </c>
      <c r="AB39" s="152">
        <f t="shared" si="12"/>
        <v>1.034079669094506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O40" si="21">D24-D39</f>
        <v>600.90999999999985</v>
      </c>
      <c r="E40" s="109">
        <f t="shared" si="21"/>
        <v>0</v>
      </c>
      <c r="F40" s="109">
        <f t="shared" si="21"/>
        <v>0</v>
      </c>
      <c r="G40" s="118">
        <f t="shared" si="21"/>
        <v>600.90999999999985</v>
      </c>
      <c r="H40" s="118">
        <f t="shared" si="21"/>
        <v>0</v>
      </c>
      <c r="I40" s="119">
        <f t="shared" si="21"/>
        <v>600.91000000000349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118">
        <f t="shared" si="21"/>
        <v>0</v>
      </c>
      <c r="N40" s="118">
        <f t="shared" si="21"/>
        <v>0</v>
      </c>
      <c r="O40" s="119">
        <f t="shared" si="21"/>
        <v>0</v>
      </c>
      <c r="P40" s="109">
        <f t="shared" ref="P40:U40" si="22">P24-P39</f>
        <v>677.09999999999854</v>
      </c>
      <c r="Q40" s="109">
        <f t="shared" si="22"/>
        <v>771.79999999999984</v>
      </c>
      <c r="R40" s="109">
        <f t="shared" si="22"/>
        <v>324.29999999999995</v>
      </c>
      <c r="S40" s="118">
        <f t="shared" si="22"/>
        <v>1773.2000000000007</v>
      </c>
      <c r="T40" s="118">
        <f t="shared" si="22"/>
        <v>0</v>
      </c>
      <c r="U40" s="119">
        <f t="shared" si="22"/>
        <v>1773.2000000000007</v>
      </c>
      <c r="V40" s="109">
        <f t="shared" ref="V40:AA40" si="23">V24-V39</f>
        <v>0</v>
      </c>
      <c r="W40" s="109">
        <f t="shared" si="23"/>
        <v>0</v>
      </c>
      <c r="X40" s="109">
        <f t="shared" si="23"/>
        <v>0</v>
      </c>
      <c r="Y40" s="118">
        <f t="shared" si="23"/>
        <v>0</v>
      </c>
      <c r="Z40" s="118">
        <f t="shared" si="23"/>
        <v>0</v>
      </c>
      <c r="AA40" s="119">
        <f t="shared" si="23"/>
        <v>0</v>
      </c>
      <c r="AB40" s="153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-25830.289999999997</v>
      </c>
      <c r="J41" s="112"/>
      <c r="K41" s="113"/>
      <c r="L41" s="113"/>
      <c r="M41" s="114"/>
      <c r="N41" s="117"/>
      <c r="O41" s="116">
        <f>O40-J16</f>
        <v>-28618</v>
      </c>
      <c r="P41" s="112"/>
      <c r="Q41" s="113"/>
      <c r="R41" s="113"/>
      <c r="S41" s="114"/>
      <c r="T41" s="117"/>
      <c r="U41" s="116">
        <f>U40-P16</f>
        <v>-12535.8</v>
      </c>
      <c r="V41" s="112"/>
      <c r="W41" s="113"/>
      <c r="X41" s="113"/>
      <c r="Y41" s="114"/>
      <c r="Z41" s="117"/>
      <c r="AA41" s="116">
        <f>AA40-V16</f>
        <v>-29553</v>
      </c>
      <c r="AB41" s="147">
        <f t="shared" si="12"/>
        <v>1.0326717450555594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/>
      <c r="E44" s="104"/>
      <c r="F44" s="105">
        <v>0</v>
      </c>
      <c r="G44" s="49"/>
      <c r="H44" s="49"/>
      <c r="I44" s="50"/>
      <c r="J44" s="94"/>
      <c r="K44" s="104"/>
      <c r="L44" s="105">
        <v>0</v>
      </c>
      <c r="M44" s="93"/>
      <c r="N44" s="93"/>
      <c r="O44" s="93"/>
      <c r="P44" s="94"/>
      <c r="Q44" s="104"/>
      <c r="R44" s="105">
        <v>0</v>
      </c>
      <c r="S44" s="4"/>
      <c r="T44" s="4"/>
      <c r="U44" s="4"/>
      <c r="V44" s="94"/>
      <c r="W44" s="104"/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2488.8000000000002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108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177">
        <v>1715.6</v>
      </c>
      <c r="E50" s="177">
        <v>214.7</v>
      </c>
      <c r="F50" s="178">
        <v>0</v>
      </c>
      <c r="G50" s="52">
        <f t="shared" ref="G50:G53" si="24">D50+E50-F50</f>
        <v>1930.3</v>
      </c>
      <c r="H50" s="49"/>
      <c r="I50" s="4"/>
      <c r="J50" s="180">
        <f>G50+H50-I50</f>
        <v>1930.3</v>
      </c>
      <c r="K50" s="181">
        <v>0</v>
      </c>
      <c r="L50" s="181">
        <v>0</v>
      </c>
      <c r="M50" s="52">
        <f t="shared" ref="M50:M53" si="25">J50+K50-L50</f>
        <v>1930.3</v>
      </c>
      <c r="N50" s="4"/>
      <c r="O50" s="4"/>
      <c r="P50" s="85">
        <v>1930.3</v>
      </c>
      <c r="Q50" s="85">
        <v>400.9</v>
      </c>
      <c r="R50" s="85">
        <v>0</v>
      </c>
      <c r="S50" s="52">
        <f t="shared" ref="S50:S53" si="26">P50+Q50-R50</f>
        <v>2331.1999999999998</v>
      </c>
      <c r="T50" s="4"/>
      <c r="U50" s="4"/>
      <c r="V50" s="85">
        <v>2331.1999999999998</v>
      </c>
      <c r="W50" s="85">
        <v>0</v>
      </c>
      <c r="X50" s="85">
        <v>0</v>
      </c>
      <c r="Y50" s="52">
        <f t="shared" ref="Y50:Y53" si="27">V50+W50-X50</f>
        <v>2331.1999999999998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71</v>
      </c>
      <c r="D51" s="177">
        <v>1777.5</v>
      </c>
      <c r="E51" s="178">
        <v>3031</v>
      </c>
      <c r="F51" s="178">
        <v>4287.8</v>
      </c>
      <c r="G51" s="52">
        <f t="shared" si="24"/>
        <v>520.69999999999982</v>
      </c>
      <c r="H51" s="49"/>
      <c r="I51" s="4"/>
      <c r="J51" s="180">
        <v>1500</v>
      </c>
      <c r="K51" s="181">
        <v>580</v>
      </c>
      <c r="L51" s="181">
        <v>450</v>
      </c>
      <c r="M51" s="52">
        <f t="shared" si="25"/>
        <v>1630</v>
      </c>
      <c r="N51" s="4"/>
      <c r="O51" s="4"/>
      <c r="P51" s="179">
        <v>520.70000000000005</v>
      </c>
      <c r="Q51" s="179">
        <v>501.8</v>
      </c>
      <c r="R51" s="179">
        <v>161.30000000000001</v>
      </c>
      <c r="S51" s="52">
        <f t="shared" si="26"/>
        <v>861.2</v>
      </c>
      <c r="T51" s="4"/>
      <c r="U51" s="4"/>
      <c r="V51" s="85">
        <v>1240.2</v>
      </c>
      <c r="W51" s="85">
        <v>759</v>
      </c>
      <c r="X51" s="85">
        <v>350</v>
      </c>
      <c r="Y51" s="52">
        <f t="shared" si="27"/>
        <v>1649.2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88</v>
      </c>
      <c r="D52" s="177">
        <v>512.6</v>
      </c>
      <c r="E52" s="177">
        <v>50</v>
      </c>
      <c r="F52" s="178">
        <v>0</v>
      </c>
      <c r="G52" s="52">
        <f t="shared" si="24"/>
        <v>562.6</v>
      </c>
      <c r="H52" s="49"/>
      <c r="I52" s="4"/>
      <c r="J52" s="180">
        <f>G52+H52-I52</f>
        <v>562.6</v>
      </c>
      <c r="K52" s="181">
        <v>0</v>
      </c>
      <c r="L52" s="181">
        <v>0</v>
      </c>
      <c r="M52" s="52">
        <f t="shared" si="25"/>
        <v>562.6</v>
      </c>
      <c r="N52" s="4"/>
      <c r="O52" s="4"/>
      <c r="P52" s="85">
        <v>562.6</v>
      </c>
      <c r="Q52" s="85">
        <v>200</v>
      </c>
      <c r="R52" s="85">
        <v>0</v>
      </c>
      <c r="S52" s="52">
        <f t="shared" si="26"/>
        <v>762.6</v>
      </c>
      <c r="T52" s="4"/>
      <c r="U52" s="4"/>
      <c r="V52" s="85">
        <v>362.6</v>
      </c>
      <c r="W52" s="85">
        <v>0</v>
      </c>
      <c r="X52" s="85">
        <v>0</v>
      </c>
      <c r="Y52" s="52">
        <f t="shared" si="27"/>
        <v>362.6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133" t="s">
        <v>89</v>
      </c>
      <c r="D53" s="178">
        <v>386</v>
      </c>
      <c r="E53" s="178">
        <v>280.8</v>
      </c>
      <c r="F53" s="178">
        <v>271.10000000000002</v>
      </c>
      <c r="G53" s="52">
        <f t="shared" si="24"/>
        <v>395.69999999999993</v>
      </c>
      <c r="H53" s="49"/>
      <c r="I53" s="4"/>
      <c r="J53" s="180">
        <v>300</v>
      </c>
      <c r="K53" s="181">
        <v>288</v>
      </c>
      <c r="L53" s="181">
        <v>288</v>
      </c>
      <c r="M53" s="52">
        <f t="shared" si="25"/>
        <v>300</v>
      </c>
      <c r="N53" s="4"/>
      <c r="O53" s="4"/>
      <c r="P53" s="85">
        <v>395.7</v>
      </c>
      <c r="Q53" s="85">
        <v>73.900000000000006</v>
      </c>
      <c r="R53" s="85">
        <v>228.6</v>
      </c>
      <c r="S53" s="52">
        <f t="shared" si="26"/>
        <v>241.00000000000003</v>
      </c>
      <c r="T53" s="4"/>
      <c r="U53" s="4"/>
      <c r="V53" s="85">
        <v>239</v>
      </c>
      <c r="W53" s="85">
        <v>307</v>
      </c>
      <c r="X53" s="85">
        <v>320</v>
      </c>
      <c r="Y53" s="52">
        <f t="shared" si="27"/>
        <v>226</v>
      </c>
      <c r="Z53" s="4"/>
      <c r="AA53" s="4"/>
      <c r="AB53" s="4"/>
      <c r="AC53" s="4"/>
      <c r="AD53" s="4"/>
    </row>
    <row r="54" spans="1:30" ht="10.5" customHeight="1" x14ac:dyDescent="0.25">
      <c r="A54" s="5"/>
      <c r="B54" s="47"/>
      <c r="C54" s="48"/>
      <c r="D54" s="49"/>
      <c r="E54" s="49"/>
      <c r="F54" s="49"/>
      <c r="G54" s="49"/>
      <c r="H54" s="4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 t="s">
        <v>87</v>
      </c>
      <c r="Y54" s="4"/>
      <c r="Z54" s="4"/>
      <c r="AA54" s="4"/>
      <c r="AB54" s="4"/>
      <c r="AC54" s="4"/>
      <c r="AD54" s="4"/>
    </row>
    <row r="55" spans="1:30" x14ac:dyDescent="0.25">
      <c r="A55" s="5"/>
      <c r="B55" s="47"/>
      <c r="C55" s="98" t="s">
        <v>74</v>
      </c>
      <c r="D55" s="99" t="s">
        <v>75</v>
      </c>
      <c r="E55" s="99" t="s">
        <v>96</v>
      </c>
      <c r="F55" s="49"/>
      <c r="G55" s="49"/>
      <c r="H55" s="49"/>
      <c r="I55" s="50"/>
      <c r="J55" s="99" t="s">
        <v>97</v>
      </c>
      <c r="K55" s="49"/>
      <c r="L55" s="49"/>
      <c r="M55" s="49"/>
      <c r="N55" s="49"/>
      <c r="O55" s="50"/>
      <c r="P55" s="99" t="s">
        <v>98</v>
      </c>
      <c r="Q55" s="50"/>
      <c r="R55" s="50"/>
      <c r="S55" s="50"/>
      <c r="T55" s="50"/>
      <c r="U55" s="50"/>
      <c r="V55" s="99" t="s">
        <v>97</v>
      </c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51"/>
      <c r="D56" s="86">
        <v>33.380000000000003</v>
      </c>
      <c r="E56" s="86">
        <v>33.130000000000003</v>
      </c>
      <c r="F56" s="49"/>
      <c r="G56" s="49"/>
      <c r="H56" s="49"/>
      <c r="I56" s="50"/>
      <c r="J56" s="86">
        <v>33.75</v>
      </c>
      <c r="K56" s="49"/>
      <c r="L56" s="49"/>
      <c r="M56" s="49"/>
      <c r="N56" s="49"/>
      <c r="O56" s="50"/>
      <c r="P56" s="86">
        <v>34.25</v>
      </c>
      <c r="Q56" s="50"/>
      <c r="R56" s="50"/>
      <c r="S56" s="50"/>
      <c r="T56" s="50"/>
      <c r="U56" s="50"/>
      <c r="V56" s="86">
        <v>33.75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48"/>
      <c r="D57" s="49"/>
      <c r="E57" s="49"/>
      <c r="F57" s="49"/>
      <c r="G57" s="49"/>
      <c r="H57" s="49"/>
      <c r="I57" s="50"/>
      <c r="J57" s="49"/>
      <c r="K57" s="49"/>
      <c r="L57" s="49"/>
      <c r="M57" s="49"/>
      <c r="N57" s="49"/>
      <c r="O57" s="50"/>
      <c r="P57" s="50"/>
      <c r="Q57" s="50"/>
      <c r="R57" s="50"/>
      <c r="S57" s="50"/>
      <c r="T57" s="50"/>
      <c r="U57" s="50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101" t="s">
        <v>92</v>
      </c>
      <c r="C58" s="100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154"/>
      <c r="W58" s="154"/>
      <c r="X58" s="154"/>
      <c r="Y58" s="154"/>
      <c r="Z58" s="154"/>
      <c r="AA58" s="154"/>
      <c r="AB58" s="155"/>
      <c r="AC58" s="4"/>
      <c r="AD58" s="4"/>
    </row>
    <row r="59" spans="1:30" x14ac:dyDescent="0.25">
      <c r="A59" s="5"/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3"/>
      <c r="AC59" s="4"/>
      <c r="AD59" s="4"/>
    </row>
    <row r="60" spans="1:30" x14ac:dyDescent="0.25">
      <c r="A60" s="5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159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59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59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59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5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59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59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59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59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59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59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59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59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59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59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59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59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59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217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124"/>
      <c r="C82" s="91"/>
      <c r="D82" s="91"/>
      <c r="E82" s="91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43"/>
      <c r="C83" s="140"/>
      <c r="D83" s="2"/>
      <c r="E83" s="2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24"/>
      <c r="C84" s="125"/>
      <c r="D84" s="2"/>
      <c r="E84" s="2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34"/>
      <c r="C86" s="135"/>
      <c r="D86" s="136"/>
      <c r="E86" s="136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56"/>
      <c r="W86" s="156"/>
      <c r="X86" s="156"/>
      <c r="Y86" s="156"/>
      <c r="Z86" s="156"/>
      <c r="AA86" s="156"/>
      <c r="AB86" s="157"/>
      <c r="AC86" s="4"/>
      <c r="AD86" s="4"/>
    </row>
    <row r="87" spans="1:30" x14ac:dyDescent="0.25">
      <c r="A87" s="87"/>
      <c r="B87" s="138"/>
      <c r="C87" s="137"/>
      <c r="D87" s="138"/>
      <c r="E87" s="138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5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 t="s">
        <v>80</v>
      </c>
      <c r="C90" s="120">
        <v>45169</v>
      </c>
      <c r="D90" s="53" t="s">
        <v>76</v>
      </c>
      <c r="E90" s="218" t="s">
        <v>110</v>
      </c>
      <c r="F90" s="218"/>
      <c r="G90" s="218"/>
      <c r="H90" s="53"/>
      <c r="I90" s="53" t="s">
        <v>77</v>
      </c>
      <c r="J90" s="222" t="s">
        <v>109</v>
      </c>
      <c r="K90" s="222"/>
      <c r="L90" s="222"/>
      <c r="M90" s="222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ht="7.5" customHeight="1" x14ac:dyDescent="0.25">
      <c r="A91" s="5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5"/>
      <c r="B92" s="53"/>
      <c r="C92" s="53"/>
      <c r="D92" s="53" t="s">
        <v>79</v>
      </c>
      <c r="E92" s="55"/>
      <c r="F92" s="55"/>
      <c r="G92" s="55"/>
      <c r="H92" s="53"/>
      <c r="I92" s="53" t="s">
        <v>79</v>
      </c>
      <c r="J92" s="54"/>
      <c r="K92" s="54"/>
      <c r="L92" s="54"/>
      <c r="M92" s="54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/>
      <c r="E93" s="55"/>
      <c r="F93" s="55"/>
      <c r="G93" s="55"/>
      <c r="H93" s="53"/>
      <c r="I93" s="53"/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hidden="1" x14ac:dyDescent="0.25">
      <c r="AC96" s="3"/>
      <c r="AD96" s="3"/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t="15" hidden="1" customHeight="1" x14ac:dyDescent="0.25"/>
    <row r="127" ht="15" hidden="1" customHeight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E90:G90"/>
    <mergeCell ref="J90:M90"/>
    <mergeCell ref="B62:U62"/>
    <mergeCell ref="B81:U81"/>
    <mergeCell ref="D4:U4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B61:U61"/>
    <mergeCell ref="D58:U58"/>
    <mergeCell ref="B60:U60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T13:T14"/>
    <mergeCell ref="U13:U14"/>
    <mergeCell ref="P25:U25"/>
    <mergeCell ref="P26:R26"/>
    <mergeCell ref="D25:I25"/>
    <mergeCell ref="D26:F26"/>
    <mergeCell ref="G26:G27"/>
    <mergeCell ref="B10:B13"/>
    <mergeCell ref="P10:U10"/>
    <mergeCell ref="P11:S11"/>
    <mergeCell ref="P12:U12"/>
    <mergeCell ref="P13:R13"/>
    <mergeCell ref="S26:S27"/>
    <mergeCell ref="T26:T27"/>
    <mergeCell ref="U26:U27"/>
    <mergeCell ref="D8:V8"/>
    <mergeCell ref="J10:O10"/>
    <mergeCell ref="J11:M11"/>
    <mergeCell ref="J12:O12"/>
    <mergeCell ref="J13:L13"/>
    <mergeCell ref="M13:M14"/>
    <mergeCell ref="N13:N14"/>
    <mergeCell ref="I13:I14"/>
  </mergeCells>
  <conditionalFormatting sqref="AB15:AB25">
    <cfRule type="cellIs" dxfId="71" priority="13" operator="equal">
      <formula>0</formula>
    </cfRule>
    <cfRule type="containsErrors" dxfId="70" priority="14">
      <formula>ISERROR(AB15)</formula>
    </cfRule>
  </conditionalFormatting>
  <conditionalFormatting sqref="AB28:AB41">
    <cfRule type="cellIs" dxfId="69" priority="1" operator="equal">
      <formula>0</formula>
    </cfRule>
    <cfRule type="containsErrors" dxfId="68" priority="2">
      <formula>ISERROR(AB28)</formula>
    </cfRule>
  </conditionalFormatting>
  <pageMargins left="0.25" right="0.25" top="0.75" bottom="0.75" header="0.3" footer="0.3"/>
  <pageSetup paperSize="9" scale="2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28"/>
  <sheetViews>
    <sheetView showGridLines="0" zoomScale="80" zoomScaleNormal="80" zoomScaleSheetLayoutView="80" workbookViewId="0">
      <selection activeCell="C91" sqref="C9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427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19.85546875" customWidth="1"/>
    <col min="26" max="26" width="12.5703125" customWidth="1"/>
    <col min="27" max="27" width="14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23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4"/>
      <c r="B4" s="4" t="s">
        <v>43</v>
      </c>
      <c r="C4" s="4"/>
      <c r="D4" s="239" t="s">
        <v>233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3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4"/>
      <c r="B6" s="4" t="s">
        <v>44</v>
      </c>
      <c r="C6" s="4"/>
      <c r="D6" s="240">
        <v>46789723</v>
      </c>
      <c r="E6" s="4"/>
      <c r="F6" s="4"/>
      <c r="G6" s="4"/>
      <c r="H6" s="4"/>
      <c r="I6" s="4"/>
      <c r="J6" s="4"/>
      <c r="K6" s="4"/>
      <c r="L6" s="4"/>
      <c r="M6" s="23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23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4"/>
      <c r="B8" s="4" t="s">
        <v>45</v>
      </c>
      <c r="C8" s="4"/>
      <c r="D8" s="242" t="s">
        <v>232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4"/>
      <c r="B10" s="243" t="s">
        <v>37</v>
      </c>
      <c r="C10" s="244" t="s">
        <v>38</v>
      </c>
      <c r="D10" s="245" t="s">
        <v>100</v>
      </c>
      <c r="E10" s="246"/>
      <c r="F10" s="246"/>
      <c r="G10" s="246"/>
      <c r="H10" s="246"/>
      <c r="I10" s="247"/>
      <c r="J10" s="245" t="s">
        <v>101</v>
      </c>
      <c r="K10" s="246"/>
      <c r="L10" s="246"/>
      <c r="M10" s="246"/>
      <c r="N10" s="246"/>
      <c r="O10" s="247"/>
      <c r="P10" s="245" t="s">
        <v>102</v>
      </c>
      <c r="Q10" s="246"/>
      <c r="R10" s="246"/>
      <c r="S10" s="246"/>
      <c r="T10" s="246"/>
      <c r="U10" s="247"/>
      <c r="V10" s="245" t="s">
        <v>103</v>
      </c>
      <c r="W10" s="246"/>
      <c r="X10" s="246"/>
      <c r="Y10" s="246"/>
      <c r="Z10" s="246"/>
      <c r="AA10" s="247"/>
      <c r="AB10" s="248" t="s">
        <v>99</v>
      </c>
      <c r="AC10" s="4"/>
      <c r="AD10" s="4"/>
    </row>
    <row r="11" spans="1:30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254" t="s">
        <v>40</v>
      </c>
      <c r="I11" s="254" t="s">
        <v>61</v>
      </c>
      <c r="J11" s="251" t="s">
        <v>39</v>
      </c>
      <c r="K11" s="252"/>
      <c r="L11" s="252"/>
      <c r="M11" s="253"/>
      <c r="N11" s="254" t="s">
        <v>40</v>
      </c>
      <c r="O11" s="254" t="s">
        <v>61</v>
      </c>
      <c r="P11" s="251" t="s">
        <v>39</v>
      </c>
      <c r="Q11" s="252"/>
      <c r="R11" s="252"/>
      <c r="S11" s="253"/>
      <c r="T11" s="254" t="s">
        <v>40</v>
      </c>
      <c r="U11" s="254" t="s">
        <v>61</v>
      </c>
      <c r="V11" s="251" t="s">
        <v>39</v>
      </c>
      <c r="W11" s="252"/>
      <c r="X11" s="252"/>
      <c r="Y11" s="253"/>
      <c r="Z11" s="254" t="s">
        <v>40</v>
      </c>
      <c r="AA11" s="254" t="s">
        <v>61</v>
      </c>
      <c r="AB11" s="255"/>
      <c r="AC11" s="4"/>
      <c r="AD11" s="4"/>
    </row>
    <row r="12" spans="1:30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9"/>
      <c r="J12" s="257" t="s">
        <v>62</v>
      </c>
      <c r="K12" s="258"/>
      <c r="L12" s="258"/>
      <c r="M12" s="258"/>
      <c r="N12" s="258"/>
      <c r="O12" s="259"/>
      <c r="P12" s="257" t="s">
        <v>62</v>
      </c>
      <c r="Q12" s="258"/>
      <c r="R12" s="258"/>
      <c r="S12" s="258"/>
      <c r="T12" s="258"/>
      <c r="U12" s="259"/>
      <c r="V12" s="257" t="s">
        <v>62</v>
      </c>
      <c r="W12" s="258"/>
      <c r="X12" s="258"/>
      <c r="Y12" s="258"/>
      <c r="Z12" s="258"/>
      <c r="AA12" s="259"/>
      <c r="AB12" s="255"/>
      <c r="AC12" s="4"/>
      <c r="AD12" s="4"/>
    </row>
    <row r="13" spans="1:30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264" t="s">
        <v>63</v>
      </c>
      <c r="H13" s="265" t="s">
        <v>66</v>
      </c>
      <c r="I13" s="266" t="s">
        <v>62</v>
      </c>
      <c r="J13" s="262" t="s">
        <v>57</v>
      </c>
      <c r="K13" s="263"/>
      <c r="L13" s="263"/>
      <c r="M13" s="264" t="s">
        <v>63</v>
      </c>
      <c r="N13" s="265" t="s">
        <v>66</v>
      </c>
      <c r="O13" s="266" t="s">
        <v>62</v>
      </c>
      <c r="P13" s="262" t="s">
        <v>57</v>
      </c>
      <c r="Q13" s="263"/>
      <c r="R13" s="263"/>
      <c r="S13" s="264" t="s">
        <v>63</v>
      </c>
      <c r="T13" s="265" t="s">
        <v>66</v>
      </c>
      <c r="U13" s="266" t="s">
        <v>62</v>
      </c>
      <c r="V13" s="262" t="s">
        <v>57</v>
      </c>
      <c r="W13" s="263"/>
      <c r="X13" s="263"/>
      <c r="Y13" s="264" t="s">
        <v>63</v>
      </c>
      <c r="Z13" s="265" t="s">
        <v>66</v>
      </c>
      <c r="AA13" s="266" t="s">
        <v>62</v>
      </c>
      <c r="AB13" s="255"/>
      <c r="AC13" s="4"/>
      <c r="AD13" s="4"/>
    </row>
    <row r="14" spans="1:30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271"/>
      <c r="H14" s="272"/>
      <c r="I14" s="273"/>
      <c r="J14" s="269" t="s">
        <v>58</v>
      </c>
      <c r="K14" s="270" t="s">
        <v>90</v>
      </c>
      <c r="L14" s="270" t="s">
        <v>59</v>
      </c>
      <c r="M14" s="271"/>
      <c r="N14" s="272"/>
      <c r="O14" s="273"/>
      <c r="P14" s="269" t="s">
        <v>58</v>
      </c>
      <c r="Q14" s="270" t="s">
        <v>90</v>
      </c>
      <c r="R14" s="270" t="s">
        <v>59</v>
      </c>
      <c r="S14" s="271"/>
      <c r="T14" s="272"/>
      <c r="U14" s="273"/>
      <c r="V14" s="269" t="s">
        <v>58</v>
      </c>
      <c r="W14" s="270" t="s">
        <v>90</v>
      </c>
      <c r="X14" s="270" t="s">
        <v>59</v>
      </c>
      <c r="Y14" s="271"/>
      <c r="Z14" s="272"/>
      <c r="AA14" s="273"/>
      <c r="AB14" s="274"/>
      <c r="AC14" s="4"/>
      <c r="AD14" s="4"/>
    </row>
    <row r="15" spans="1:30" x14ac:dyDescent="0.25">
      <c r="A15" s="4"/>
      <c r="B15" s="275" t="s">
        <v>0</v>
      </c>
      <c r="C15" s="276" t="s">
        <v>52</v>
      </c>
      <c r="D15" s="277"/>
      <c r="E15" s="278"/>
      <c r="F15" s="279">
        <v>2568.4</v>
      </c>
      <c r="G15" s="280">
        <f>SUM(D15:F15)</f>
        <v>2568.4</v>
      </c>
      <c r="H15" s="281"/>
      <c r="I15" s="282">
        <f>G15+H15</f>
        <v>2568.4</v>
      </c>
      <c r="J15" s="553"/>
      <c r="K15" s="554"/>
      <c r="L15" s="555">
        <v>2120</v>
      </c>
      <c r="M15" s="556">
        <v>2120</v>
      </c>
      <c r="N15" s="557"/>
      <c r="O15" s="558">
        <f>M15+N15</f>
        <v>2120</v>
      </c>
      <c r="P15" s="277"/>
      <c r="Q15" s="278"/>
      <c r="R15" s="279">
        <v>1622.6</v>
      </c>
      <c r="S15" s="280">
        <f>SUM(P15:R15)</f>
        <v>1622.6</v>
      </c>
      <c r="T15" s="281"/>
      <c r="U15" s="282">
        <f>S15+T15</f>
        <v>1622.6</v>
      </c>
      <c r="V15" s="277"/>
      <c r="W15" s="278"/>
      <c r="X15" s="279">
        <v>2560</v>
      </c>
      <c r="Y15" s="280">
        <v>2560</v>
      </c>
      <c r="Z15" s="281"/>
      <c r="AA15" s="282">
        <f>Y15+Z15</f>
        <v>2560</v>
      </c>
      <c r="AB15" s="283">
        <f>(AA15/O15)</f>
        <v>1.2075471698113207</v>
      </c>
      <c r="AC15" s="4"/>
      <c r="AD15" s="4"/>
    </row>
    <row r="16" spans="1:30" x14ac:dyDescent="0.25">
      <c r="A16" s="4"/>
      <c r="B16" s="284" t="s">
        <v>1</v>
      </c>
      <c r="C16" s="285" t="s">
        <v>60</v>
      </c>
      <c r="D16" s="286">
        <v>6199.1</v>
      </c>
      <c r="E16" s="287"/>
      <c r="F16" s="287"/>
      <c r="G16" s="288">
        <f>SUM(D16:F16)</f>
        <v>6199.1</v>
      </c>
      <c r="H16" s="289"/>
      <c r="I16" s="282">
        <f>G16+H16</f>
        <v>6199.1</v>
      </c>
      <c r="J16" s="559">
        <v>8610.9</v>
      </c>
      <c r="K16" s="560"/>
      <c r="L16" s="560"/>
      <c r="M16" s="561">
        <f>SUM(J16:L16)</f>
        <v>8610.9</v>
      </c>
      <c r="N16" s="562"/>
      <c r="O16" s="558">
        <f>M16+N16</f>
        <v>8610.9</v>
      </c>
      <c r="P16" s="286">
        <v>4511</v>
      </c>
      <c r="Q16" s="287"/>
      <c r="R16" s="287"/>
      <c r="S16" s="288">
        <f>SUM(P16:R16)</f>
        <v>4511</v>
      </c>
      <c r="T16" s="289"/>
      <c r="U16" s="282">
        <f>S16+T16</f>
        <v>4511</v>
      </c>
      <c r="V16" s="286">
        <v>8700</v>
      </c>
      <c r="W16" s="287"/>
      <c r="X16" s="287"/>
      <c r="Y16" s="288">
        <f>SUM(V16:X16)</f>
        <v>8700</v>
      </c>
      <c r="Z16" s="289"/>
      <c r="AA16" s="282">
        <f>Y16+Z16</f>
        <v>8700</v>
      </c>
      <c r="AB16" s="283">
        <f>(AA16/O16)</f>
        <v>1.0103473504511724</v>
      </c>
      <c r="AC16" s="4"/>
      <c r="AD16" s="4"/>
    </row>
    <row r="17" spans="1:30" x14ac:dyDescent="0.25">
      <c r="A17" s="4"/>
      <c r="B17" s="284" t="s">
        <v>3</v>
      </c>
      <c r="C17" s="290" t="s">
        <v>78</v>
      </c>
      <c r="D17" s="58">
        <v>276.2</v>
      </c>
      <c r="E17" s="291"/>
      <c r="F17" s="291"/>
      <c r="G17" s="288">
        <f>SUM(D17:F17)</f>
        <v>276.2</v>
      </c>
      <c r="H17" s="292"/>
      <c r="I17" s="282">
        <f>G17+H17</f>
        <v>276.2</v>
      </c>
      <c r="J17" s="442">
        <v>335.1</v>
      </c>
      <c r="K17" s="563"/>
      <c r="L17" s="563"/>
      <c r="M17" s="561">
        <f>SUM(J17:L17)</f>
        <v>335.1</v>
      </c>
      <c r="N17" s="564"/>
      <c r="O17" s="558">
        <f>M17+N17</f>
        <v>335.1</v>
      </c>
      <c r="P17" s="58">
        <v>61.5</v>
      </c>
      <c r="Q17" s="291"/>
      <c r="R17" s="291"/>
      <c r="S17" s="288">
        <f>SUM(P17:R17)</f>
        <v>61.5</v>
      </c>
      <c r="T17" s="292"/>
      <c r="U17" s="282">
        <f>S17+T17</f>
        <v>61.5</v>
      </c>
      <c r="V17" s="58">
        <v>288.7</v>
      </c>
      <c r="W17" s="291"/>
      <c r="X17" s="291"/>
      <c r="Y17" s="288">
        <f>SUM(V17:X17)</f>
        <v>288.7</v>
      </c>
      <c r="Z17" s="292"/>
      <c r="AA17" s="282">
        <f>Y17+Z17</f>
        <v>288.7</v>
      </c>
      <c r="AB17" s="283">
        <f>(AA17/O17)</f>
        <v>0.86153387048642183</v>
      </c>
      <c r="AC17" s="4"/>
      <c r="AD17" s="4"/>
    </row>
    <row r="18" spans="1:30" x14ac:dyDescent="0.25">
      <c r="A18" s="4"/>
      <c r="B18" s="284" t="s">
        <v>5</v>
      </c>
      <c r="C18" s="293" t="s">
        <v>53</v>
      </c>
      <c r="D18" s="294"/>
      <c r="E18" s="60">
        <v>45585.4</v>
      </c>
      <c r="F18" s="291">
        <v>-10.199999999999999</v>
      </c>
      <c r="G18" s="288">
        <f>SUM(D18:F18)</f>
        <v>45575.200000000004</v>
      </c>
      <c r="H18" s="281"/>
      <c r="I18" s="282">
        <f>G18+H18</f>
        <v>45575.200000000004</v>
      </c>
      <c r="J18" s="565"/>
      <c r="K18" s="448">
        <v>47587</v>
      </c>
      <c r="L18" s="563"/>
      <c r="M18" s="561">
        <f>SUM(J18:L18)</f>
        <v>47587</v>
      </c>
      <c r="N18" s="557"/>
      <c r="O18" s="558">
        <f>M18+N18</f>
        <v>47587</v>
      </c>
      <c r="P18" s="294"/>
      <c r="Q18" s="60">
        <v>22682.2</v>
      </c>
      <c r="R18" s="291"/>
      <c r="S18" s="288">
        <f>SUM(P18:R18)</f>
        <v>22682.2</v>
      </c>
      <c r="T18" s="281"/>
      <c r="U18" s="282">
        <f>S18+T18</f>
        <v>22682.2</v>
      </c>
      <c r="V18" s="294"/>
      <c r="W18" s="60">
        <v>49500</v>
      </c>
      <c r="X18" s="291"/>
      <c r="Y18" s="288">
        <f>SUM(V18:X18)</f>
        <v>49500</v>
      </c>
      <c r="Z18" s="281"/>
      <c r="AA18" s="282">
        <f>Y18+Z18</f>
        <v>49500</v>
      </c>
      <c r="AB18" s="283">
        <f>(AA18/O18)</f>
        <v>1.0402000546367705</v>
      </c>
      <c r="AC18" s="4"/>
      <c r="AD18" s="4"/>
    </row>
    <row r="19" spans="1:30" x14ac:dyDescent="0.25">
      <c r="A19" s="4"/>
      <c r="B19" s="284" t="s">
        <v>7</v>
      </c>
      <c r="C19" s="295" t="s">
        <v>46</v>
      </c>
      <c r="D19" s="296"/>
      <c r="E19" s="291"/>
      <c r="F19" s="60">
        <v>977</v>
      </c>
      <c r="G19" s="288">
        <f>SUM(D19:F19)</f>
        <v>977</v>
      </c>
      <c r="H19" s="281"/>
      <c r="I19" s="282">
        <f>G19+H19</f>
        <v>977</v>
      </c>
      <c r="J19" s="566"/>
      <c r="K19" s="563"/>
      <c r="L19" s="448">
        <v>977</v>
      </c>
      <c r="M19" s="561">
        <f>SUM(J19:L19)</f>
        <v>977</v>
      </c>
      <c r="N19" s="557"/>
      <c r="O19" s="558">
        <f>M19+N19</f>
        <v>977</v>
      </c>
      <c r="P19" s="296"/>
      <c r="Q19" s="291"/>
      <c r="R19" s="60">
        <v>488.5</v>
      </c>
      <c r="S19" s="288">
        <f>SUM(P19:R19)</f>
        <v>488.5</v>
      </c>
      <c r="T19" s="281"/>
      <c r="U19" s="282">
        <f>S19+T19</f>
        <v>488.5</v>
      </c>
      <c r="V19" s="296"/>
      <c r="W19" s="291"/>
      <c r="X19" s="60">
        <v>977</v>
      </c>
      <c r="Y19" s="288">
        <f>SUM(V19:X19)</f>
        <v>977</v>
      </c>
      <c r="Z19" s="281"/>
      <c r="AA19" s="282">
        <f>Y19+Z19</f>
        <v>977</v>
      </c>
      <c r="AB19" s="283">
        <f>(AA19/O19)</f>
        <v>1</v>
      </c>
      <c r="AC19" s="4"/>
      <c r="AD19" s="4"/>
    </row>
    <row r="20" spans="1:30" x14ac:dyDescent="0.25">
      <c r="A20" s="4"/>
      <c r="B20" s="284" t="s">
        <v>9</v>
      </c>
      <c r="C20" s="297" t="s">
        <v>47</v>
      </c>
      <c r="D20" s="294"/>
      <c r="E20" s="287"/>
      <c r="F20" s="298"/>
      <c r="G20" s="288"/>
      <c r="H20" s="281"/>
      <c r="I20" s="282">
        <f>G20+H20</f>
        <v>0</v>
      </c>
      <c r="J20" s="565"/>
      <c r="K20" s="560"/>
      <c r="L20" s="567">
        <v>200</v>
      </c>
      <c r="M20" s="561">
        <f>SUM(J20:L20)</f>
        <v>200</v>
      </c>
      <c r="N20" s="557"/>
      <c r="O20" s="558">
        <f>M20+N20</f>
        <v>200</v>
      </c>
      <c r="P20" s="294"/>
      <c r="Q20" s="287"/>
      <c r="R20" s="298"/>
      <c r="S20" s="288">
        <f>SUM(P20:R20)</f>
        <v>0</v>
      </c>
      <c r="T20" s="281"/>
      <c r="U20" s="282">
        <f>S20+T20</f>
        <v>0</v>
      </c>
      <c r="V20" s="294"/>
      <c r="W20" s="287"/>
      <c r="X20" s="298">
        <v>200</v>
      </c>
      <c r="Y20" s="288">
        <f>SUM(V20:X20)</f>
        <v>200</v>
      </c>
      <c r="Z20" s="281"/>
      <c r="AA20" s="282">
        <f>Y20+Z20</f>
        <v>200</v>
      </c>
      <c r="AB20" s="283">
        <f>(AA20/O20)</f>
        <v>1</v>
      </c>
      <c r="AC20" s="4"/>
      <c r="AD20" s="4"/>
    </row>
    <row r="21" spans="1:30" x14ac:dyDescent="0.25">
      <c r="A21" s="4"/>
      <c r="B21" s="284" t="s">
        <v>11</v>
      </c>
      <c r="C21" s="299" t="s">
        <v>2</v>
      </c>
      <c r="D21" s="294"/>
      <c r="E21" s="287"/>
      <c r="F21" s="298">
        <v>532.70000000000005</v>
      </c>
      <c r="G21" s="288">
        <v>532.70000000000005</v>
      </c>
      <c r="H21" s="300">
        <v>310.60000000000002</v>
      </c>
      <c r="I21" s="282">
        <f>G21+H21</f>
        <v>843.30000000000007</v>
      </c>
      <c r="J21" s="565"/>
      <c r="K21" s="560"/>
      <c r="L21" s="567"/>
      <c r="M21" s="561">
        <f>SUM(J21:L21)</f>
        <v>0</v>
      </c>
      <c r="N21" s="568">
        <v>215</v>
      </c>
      <c r="O21" s="558">
        <f>M21+N21</f>
        <v>215</v>
      </c>
      <c r="P21" s="294"/>
      <c r="Q21" s="287"/>
      <c r="R21" s="298">
        <v>178.3</v>
      </c>
      <c r="S21" s="288">
        <v>178.3</v>
      </c>
      <c r="T21" s="300">
        <v>195.5</v>
      </c>
      <c r="U21" s="282">
        <f>S21+T21</f>
        <v>373.8</v>
      </c>
      <c r="V21" s="294"/>
      <c r="W21" s="287"/>
      <c r="X21" s="298">
        <v>240</v>
      </c>
      <c r="Y21" s="288">
        <f>SUM(V21:X21)</f>
        <v>240</v>
      </c>
      <c r="Z21" s="300">
        <v>300</v>
      </c>
      <c r="AA21" s="282">
        <f>Y21+Z21</f>
        <v>540</v>
      </c>
      <c r="AB21" s="283">
        <f>(AA21/O21)</f>
        <v>2.5116279069767442</v>
      </c>
      <c r="AC21" s="4"/>
      <c r="AD21" s="4"/>
    </row>
    <row r="22" spans="1:30" x14ac:dyDescent="0.25">
      <c r="A22" s="4"/>
      <c r="B22" s="284" t="s">
        <v>13</v>
      </c>
      <c r="C22" s="299" t="s">
        <v>4</v>
      </c>
      <c r="D22" s="294"/>
      <c r="E22" s="287"/>
      <c r="F22" s="298"/>
      <c r="G22" s="288">
        <f>SUM(D22:F22)</f>
        <v>0</v>
      </c>
      <c r="H22" s="300">
        <v>310.60000000000002</v>
      </c>
      <c r="I22" s="282">
        <f>G22+H22</f>
        <v>310.60000000000002</v>
      </c>
      <c r="J22" s="565"/>
      <c r="K22" s="560"/>
      <c r="L22" s="567"/>
      <c r="M22" s="561">
        <f>SUM(J22:L22)</f>
        <v>0</v>
      </c>
      <c r="N22" s="568">
        <v>205</v>
      </c>
      <c r="O22" s="558">
        <f>M22+N22</f>
        <v>205</v>
      </c>
      <c r="P22" s="294"/>
      <c r="Q22" s="287"/>
      <c r="R22" s="298"/>
      <c r="S22" s="288">
        <f>SUM(P22:R22)</f>
        <v>0</v>
      </c>
      <c r="T22" s="300">
        <v>195.5</v>
      </c>
      <c r="U22" s="282">
        <f>S22+T22</f>
        <v>195.5</v>
      </c>
      <c r="V22" s="294"/>
      <c r="W22" s="287"/>
      <c r="X22" s="298"/>
      <c r="Y22" s="288">
        <f>SUM(V22:X22)</f>
        <v>0</v>
      </c>
      <c r="Z22" s="300">
        <v>290</v>
      </c>
      <c r="AA22" s="282">
        <f>Y22+Z22</f>
        <v>290</v>
      </c>
      <c r="AB22" s="283">
        <f>(AA22/O22)</f>
        <v>1.4146341463414633</v>
      </c>
      <c r="AC22" s="4"/>
      <c r="AD22" s="4"/>
    </row>
    <row r="23" spans="1:30" ht="15.75" thickBot="1" x14ac:dyDescent="0.3">
      <c r="A23" s="4"/>
      <c r="B23" s="301" t="s">
        <v>15</v>
      </c>
      <c r="C23" s="302" t="s">
        <v>6</v>
      </c>
      <c r="D23" s="303"/>
      <c r="E23" s="304"/>
      <c r="F23" s="305"/>
      <c r="G23" s="306">
        <f>SUM(D23:F23)</f>
        <v>0</v>
      </c>
      <c r="H23" s="307"/>
      <c r="I23" s="308">
        <f>G23+H23</f>
        <v>0</v>
      </c>
      <c r="J23" s="569"/>
      <c r="K23" s="570"/>
      <c r="L23" s="571"/>
      <c r="M23" s="572">
        <f>SUM(J23:L23)</f>
        <v>0</v>
      </c>
      <c r="N23" s="573"/>
      <c r="O23" s="574">
        <f>M23+N23</f>
        <v>0</v>
      </c>
      <c r="P23" s="303"/>
      <c r="Q23" s="304"/>
      <c r="R23" s="305"/>
      <c r="S23" s="306">
        <f>SUM(P23:R23)</f>
        <v>0</v>
      </c>
      <c r="T23" s="307"/>
      <c r="U23" s="308"/>
      <c r="V23" s="303"/>
      <c r="W23" s="304"/>
      <c r="X23" s="305"/>
      <c r="Y23" s="306">
        <f>SUM(V23:X23)</f>
        <v>0</v>
      </c>
      <c r="Z23" s="307"/>
      <c r="AA23" s="308">
        <f>Y23+Z23</f>
        <v>0</v>
      </c>
      <c r="AB23" s="309" t="e">
        <f>(AA23/O23)</f>
        <v>#DIV/0!</v>
      </c>
      <c r="AC23" s="4"/>
      <c r="AD23" s="4"/>
    </row>
    <row r="24" spans="1:30" ht="15.75" thickBot="1" x14ac:dyDescent="0.3">
      <c r="A24" s="4"/>
      <c r="B24" s="310" t="s">
        <v>17</v>
      </c>
      <c r="C24" s="311" t="s">
        <v>8</v>
      </c>
      <c r="D24" s="312">
        <f>SUM(D15:D21)</f>
        <v>6475.3</v>
      </c>
      <c r="E24" s="313">
        <f>SUM(E15:E21)</f>
        <v>45585.4</v>
      </c>
      <c r="F24" s="313">
        <f>SUM(F15:F21)</f>
        <v>4067.9000000000005</v>
      </c>
      <c r="G24" s="314">
        <f>SUM(D24:F24)</f>
        <v>56128.600000000006</v>
      </c>
      <c r="H24" s="315">
        <f>SUM(H15:H21)</f>
        <v>310.60000000000002</v>
      </c>
      <c r="I24" s="315">
        <f>SUM(I15:I21)</f>
        <v>56439.200000000012</v>
      </c>
      <c r="J24" s="575">
        <f>SUM(J15:J21)</f>
        <v>8946</v>
      </c>
      <c r="K24" s="576">
        <f>SUM(K15:K21)</f>
        <v>47587</v>
      </c>
      <c r="L24" s="576">
        <f>SUM(L15:L21)</f>
        <v>3297</v>
      </c>
      <c r="M24" s="577">
        <f>SUM(J24:L24)</f>
        <v>59830</v>
      </c>
      <c r="N24" s="578">
        <f>SUM(N15:N21)</f>
        <v>215</v>
      </c>
      <c r="O24" s="578">
        <f>SUM(O15:O21)</f>
        <v>60045</v>
      </c>
      <c r="P24" s="312">
        <f>SUM(P15:P21)</f>
        <v>4572.5</v>
      </c>
      <c r="Q24" s="313">
        <f>SUM(Q15:Q21)</f>
        <v>22682.2</v>
      </c>
      <c r="R24" s="313">
        <f>SUM(R15:R21)</f>
        <v>2289.4</v>
      </c>
      <c r="S24" s="314">
        <f>SUM(P24:R24)</f>
        <v>29544.100000000002</v>
      </c>
      <c r="T24" s="315">
        <f>SUM(T15:T21)</f>
        <v>195.5</v>
      </c>
      <c r="U24" s="315">
        <f>SUM(U15:U21)</f>
        <v>29739.600000000002</v>
      </c>
      <c r="V24" s="312">
        <f>SUM(V15:V21)</f>
        <v>8988.7000000000007</v>
      </c>
      <c r="W24" s="313">
        <f>SUM(W15:W21)</f>
        <v>49500</v>
      </c>
      <c r="X24" s="313">
        <f>SUM(X15:X21)</f>
        <v>3977</v>
      </c>
      <c r="Y24" s="314">
        <f>SUM(V24:X24)</f>
        <v>62465.7</v>
      </c>
      <c r="Z24" s="315">
        <f>SUM(Z15:Z21)</f>
        <v>300</v>
      </c>
      <c r="AA24" s="315">
        <f>SUM(AA15:AA21)</f>
        <v>62765.7</v>
      </c>
      <c r="AB24" s="316">
        <f>(AA24/O24)</f>
        <v>1.0453110167374469</v>
      </c>
      <c r="AC24" s="4"/>
      <c r="AD24" s="4"/>
    </row>
    <row r="25" spans="1:30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2"/>
      <c r="J25" s="579" t="s">
        <v>68</v>
      </c>
      <c r="K25" s="580"/>
      <c r="L25" s="580"/>
      <c r="M25" s="581"/>
      <c r="N25" s="581"/>
      <c r="O25" s="582"/>
      <c r="P25" s="319" t="s">
        <v>68</v>
      </c>
      <c r="Q25" s="320"/>
      <c r="R25" s="320"/>
      <c r="S25" s="321"/>
      <c r="T25" s="321"/>
      <c r="U25" s="322"/>
      <c r="V25" s="319" t="s">
        <v>68</v>
      </c>
      <c r="W25" s="320"/>
      <c r="X25" s="320"/>
      <c r="Y25" s="321"/>
      <c r="Z25" s="321"/>
      <c r="AA25" s="322"/>
      <c r="AB25" s="323" t="s">
        <v>99</v>
      </c>
      <c r="AC25" s="4"/>
      <c r="AD25" s="4"/>
    </row>
    <row r="26" spans="1:30" ht="15.75" thickBot="1" x14ac:dyDescent="0.3">
      <c r="A26" s="4"/>
      <c r="B26" s="324" t="s">
        <v>37</v>
      </c>
      <c r="C26" s="244" t="s">
        <v>38</v>
      </c>
      <c r="D26" s="325" t="s">
        <v>69</v>
      </c>
      <c r="E26" s="326"/>
      <c r="F26" s="326"/>
      <c r="G26" s="264" t="s">
        <v>64</v>
      </c>
      <c r="H26" s="327" t="s">
        <v>67</v>
      </c>
      <c r="I26" s="328" t="s">
        <v>68</v>
      </c>
      <c r="J26" s="583" t="s">
        <v>69</v>
      </c>
      <c r="K26" s="584"/>
      <c r="L26" s="584"/>
      <c r="M26" s="585" t="s">
        <v>64</v>
      </c>
      <c r="N26" s="586" t="s">
        <v>67</v>
      </c>
      <c r="O26" s="587" t="s">
        <v>68</v>
      </c>
      <c r="P26" s="325" t="s">
        <v>69</v>
      </c>
      <c r="Q26" s="326"/>
      <c r="R26" s="326"/>
      <c r="S26" s="264" t="s">
        <v>64</v>
      </c>
      <c r="T26" s="327" t="s">
        <v>67</v>
      </c>
      <c r="U26" s="328" t="s">
        <v>68</v>
      </c>
      <c r="V26" s="325" t="s">
        <v>69</v>
      </c>
      <c r="W26" s="326"/>
      <c r="X26" s="326"/>
      <c r="Y26" s="264" t="s">
        <v>64</v>
      </c>
      <c r="Z26" s="327" t="s">
        <v>67</v>
      </c>
      <c r="AA26" s="328" t="s">
        <v>68</v>
      </c>
      <c r="AB26" s="329"/>
      <c r="AC26" s="4"/>
      <c r="AD26" s="4"/>
    </row>
    <row r="27" spans="1:30" ht="15.75" thickBot="1" x14ac:dyDescent="0.3">
      <c r="A27" s="4"/>
      <c r="B27" s="330"/>
      <c r="C27" s="250"/>
      <c r="D27" s="331" t="s">
        <v>54</v>
      </c>
      <c r="E27" s="332" t="s">
        <v>55</v>
      </c>
      <c r="F27" s="333" t="s">
        <v>56</v>
      </c>
      <c r="G27" s="271"/>
      <c r="H27" s="334"/>
      <c r="I27" s="335"/>
      <c r="J27" s="588" t="s">
        <v>54</v>
      </c>
      <c r="K27" s="589" t="s">
        <v>55</v>
      </c>
      <c r="L27" s="590" t="s">
        <v>56</v>
      </c>
      <c r="M27" s="591"/>
      <c r="N27" s="592"/>
      <c r="O27" s="593"/>
      <c r="P27" s="331" t="s">
        <v>54</v>
      </c>
      <c r="Q27" s="332" t="s">
        <v>55</v>
      </c>
      <c r="R27" s="333" t="s">
        <v>56</v>
      </c>
      <c r="S27" s="271"/>
      <c r="T27" s="334"/>
      <c r="U27" s="335"/>
      <c r="V27" s="331" t="s">
        <v>54</v>
      </c>
      <c r="W27" s="332" t="s">
        <v>55</v>
      </c>
      <c r="X27" s="333" t="s">
        <v>56</v>
      </c>
      <c r="Y27" s="271"/>
      <c r="Z27" s="334"/>
      <c r="AA27" s="335"/>
      <c r="AB27" s="336"/>
      <c r="AC27" s="4"/>
      <c r="AD27" s="4"/>
    </row>
    <row r="28" spans="1:30" x14ac:dyDescent="0.25">
      <c r="A28" s="4"/>
      <c r="B28" s="275" t="s">
        <v>19</v>
      </c>
      <c r="C28" s="276" t="s">
        <v>10</v>
      </c>
      <c r="D28" s="337">
        <v>755.9</v>
      </c>
      <c r="E28" s="337"/>
      <c r="F28" s="337">
        <v>2.6</v>
      </c>
      <c r="G28" s="338">
        <f>SUM(D28:F28)</f>
        <v>758.5</v>
      </c>
      <c r="H28" s="338"/>
      <c r="I28" s="339">
        <f>G28+H28</f>
        <v>758.5</v>
      </c>
      <c r="J28" s="594">
        <v>590.79999999999995</v>
      </c>
      <c r="K28" s="595"/>
      <c r="L28" s="595"/>
      <c r="M28" s="596">
        <f>SUM(J28:L28)</f>
        <v>590.79999999999995</v>
      </c>
      <c r="N28" s="596"/>
      <c r="O28" s="597">
        <f>M28+N28</f>
        <v>590.79999999999995</v>
      </c>
      <c r="P28" s="340">
        <v>224.4</v>
      </c>
      <c r="Q28" s="337"/>
      <c r="R28" s="337"/>
      <c r="S28" s="338">
        <f>SUM(P28:R28)</f>
        <v>224.4</v>
      </c>
      <c r="T28" s="338"/>
      <c r="U28" s="339">
        <f>S28+T28</f>
        <v>224.4</v>
      </c>
      <c r="V28" s="340">
        <v>750</v>
      </c>
      <c r="W28" s="337"/>
      <c r="X28" s="337"/>
      <c r="Y28" s="338">
        <f>SUM(V28:X28)</f>
        <v>750</v>
      </c>
      <c r="Z28" s="338"/>
      <c r="AA28" s="339">
        <f>Y28+Z28</f>
        <v>750</v>
      </c>
      <c r="AB28" s="283">
        <f>(AA28/O28)</f>
        <v>1.2694651320243737</v>
      </c>
      <c r="AC28" s="4"/>
      <c r="AD28" s="4"/>
    </row>
    <row r="29" spans="1:30" x14ac:dyDescent="0.25">
      <c r="A29" s="4"/>
      <c r="B29" s="284" t="s">
        <v>20</v>
      </c>
      <c r="C29" s="299" t="s">
        <v>12</v>
      </c>
      <c r="D29" s="341">
        <v>553.1</v>
      </c>
      <c r="E29" s="341">
        <v>210.5</v>
      </c>
      <c r="F29" s="341">
        <v>2502.8000000000002</v>
      </c>
      <c r="G29" s="342">
        <f>SUM(D29:F29)</f>
        <v>3266.4</v>
      </c>
      <c r="H29" s="342"/>
      <c r="I29" s="282">
        <f>G29+H29</f>
        <v>3266.4</v>
      </c>
      <c r="J29" s="598">
        <v>400</v>
      </c>
      <c r="K29" s="487">
        <v>300</v>
      </c>
      <c r="L29" s="487">
        <v>2070</v>
      </c>
      <c r="M29" s="599">
        <f>SUM(J29:L29)</f>
        <v>2770</v>
      </c>
      <c r="N29" s="599"/>
      <c r="O29" s="558">
        <f>M29+N29</f>
        <v>2770</v>
      </c>
      <c r="P29" s="343">
        <v>215.5</v>
      </c>
      <c r="Q29" s="341">
        <v>55</v>
      </c>
      <c r="R29" s="341">
        <v>1526.3</v>
      </c>
      <c r="S29" s="342">
        <v>1796.8</v>
      </c>
      <c r="T29" s="342"/>
      <c r="U29" s="282">
        <f>S29+T29</f>
        <v>1796.8</v>
      </c>
      <c r="V29" s="343">
        <v>677.7</v>
      </c>
      <c r="W29" s="341">
        <v>215</v>
      </c>
      <c r="X29" s="341">
        <v>2560</v>
      </c>
      <c r="Y29" s="342">
        <f>SUM(V29:X29)</f>
        <v>3452.7</v>
      </c>
      <c r="Z29" s="342"/>
      <c r="AA29" s="282">
        <f>Y29+Z29</f>
        <v>3452.7</v>
      </c>
      <c r="AB29" s="283">
        <f>(AA29/O29)</f>
        <v>1.2464620938628159</v>
      </c>
      <c r="AC29" s="4"/>
      <c r="AD29" s="4"/>
    </row>
    <row r="30" spans="1:30" x14ac:dyDescent="0.25">
      <c r="A30" s="4"/>
      <c r="B30" s="284" t="s">
        <v>22</v>
      </c>
      <c r="C30" s="299" t="s">
        <v>14</v>
      </c>
      <c r="D30" s="341">
        <v>3268.2</v>
      </c>
      <c r="E30" s="341"/>
      <c r="F30" s="341" t="s">
        <v>87</v>
      </c>
      <c r="G30" s="342">
        <f>SUM(D30:F30)</f>
        <v>3268.2</v>
      </c>
      <c r="H30" s="342">
        <v>70.8</v>
      </c>
      <c r="I30" s="282">
        <f>G30+H30</f>
        <v>3339</v>
      </c>
      <c r="J30" s="598">
        <v>4680</v>
      </c>
      <c r="K30" s="487" t="s">
        <v>87</v>
      </c>
      <c r="L30" s="487"/>
      <c r="M30" s="599">
        <f>SUM(J30:L30)</f>
        <v>4680</v>
      </c>
      <c r="N30" s="599">
        <v>215</v>
      </c>
      <c r="O30" s="558">
        <f>M30+N30</f>
        <v>4895</v>
      </c>
      <c r="P30" s="343">
        <v>2183.4</v>
      </c>
      <c r="Q30" s="341"/>
      <c r="R30" s="341"/>
      <c r="S30" s="342">
        <f>SUM(P30:R30)</f>
        <v>2183.4</v>
      </c>
      <c r="T30" s="342">
        <v>40.9</v>
      </c>
      <c r="U30" s="282">
        <f>S30+T30</f>
        <v>2224.3000000000002</v>
      </c>
      <c r="V30" s="343">
        <v>4200</v>
      </c>
      <c r="W30" s="341"/>
      <c r="X30" s="341"/>
      <c r="Y30" s="342">
        <f>SUM(V30:X30)</f>
        <v>4200</v>
      </c>
      <c r="Z30" s="342">
        <v>300</v>
      </c>
      <c r="AA30" s="282">
        <f>Y30+Z30</f>
        <v>4500</v>
      </c>
      <c r="AB30" s="283">
        <f>(AA30/O30)</f>
        <v>0.91930541368743612</v>
      </c>
      <c r="AC30" s="4"/>
      <c r="AD30" s="4"/>
    </row>
    <row r="31" spans="1:30" x14ac:dyDescent="0.25">
      <c r="A31" s="4"/>
      <c r="B31" s="284" t="s">
        <v>24</v>
      </c>
      <c r="C31" s="299" t="s">
        <v>16</v>
      </c>
      <c r="D31" s="341">
        <v>1120.0999999999999</v>
      </c>
      <c r="E31" s="341">
        <v>29.2</v>
      </c>
      <c r="F31" s="341"/>
      <c r="G31" s="342">
        <f>SUM(D31:F31)</f>
        <v>1149.3</v>
      </c>
      <c r="H31" s="342"/>
      <c r="I31" s="282">
        <f>G31+H31</f>
        <v>1149.3</v>
      </c>
      <c r="J31" s="598">
        <v>931</v>
      </c>
      <c r="K31" s="487"/>
      <c r="L31" s="487"/>
      <c r="M31" s="599">
        <f>SUM(J31:L31)</f>
        <v>931</v>
      </c>
      <c r="N31" s="599"/>
      <c r="O31" s="558">
        <f>M31+N31</f>
        <v>931</v>
      </c>
      <c r="P31" s="343">
        <v>626.20000000000005</v>
      </c>
      <c r="Q31" s="341">
        <v>328.4</v>
      </c>
      <c r="R31" s="341"/>
      <c r="S31" s="342">
        <f>SUM(P31:R31)</f>
        <v>954.6</v>
      </c>
      <c r="T31" s="342"/>
      <c r="U31" s="282">
        <f>S31+T31</f>
        <v>954.6</v>
      </c>
      <c r="V31" s="343">
        <v>1600</v>
      </c>
      <c r="W31" s="341">
        <v>30</v>
      </c>
      <c r="X31" s="341"/>
      <c r="Y31" s="342">
        <f>SUM(V31:X31)</f>
        <v>1630</v>
      </c>
      <c r="Z31" s="342"/>
      <c r="AA31" s="282">
        <f>Y31+Z31</f>
        <v>1630</v>
      </c>
      <c r="AB31" s="283">
        <f>(AA31/O31)</f>
        <v>1.7508055853920517</v>
      </c>
      <c r="AC31" s="4"/>
      <c r="AD31" s="4"/>
    </row>
    <row r="32" spans="1:30" x14ac:dyDescent="0.25">
      <c r="A32" s="4"/>
      <c r="B32" s="284" t="s">
        <v>26</v>
      </c>
      <c r="C32" s="299" t="s">
        <v>18</v>
      </c>
      <c r="D32" s="345">
        <v>133.69999999999999</v>
      </c>
      <c r="E32" s="341">
        <v>32855.300000000003</v>
      </c>
      <c r="F32" s="341"/>
      <c r="G32" s="342">
        <f>SUM(D32:F32)</f>
        <v>32989</v>
      </c>
      <c r="H32" s="342"/>
      <c r="I32" s="282">
        <f>G32+H32</f>
        <v>32989</v>
      </c>
      <c r="J32" s="598">
        <v>120</v>
      </c>
      <c r="K32" s="487">
        <v>34190.699999999997</v>
      </c>
      <c r="L32" s="487"/>
      <c r="M32" s="599">
        <f>SUM(J32:L32)</f>
        <v>34310.699999999997</v>
      </c>
      <c r="N32" s="599"/>
      <c r="O32" s="558">
        <f>M32+N32</f>
        <v>34310.699999999997</v>
      </c>
      <c r="P32" s="346"/>
      <c r="Q32" s="341">
        <v>16428.900000000001</v>
      </c>
      <c r="R32" s="341"/>
      <c r="S32" s="342">
        <f>SUM(P32:R32)</f>
        <v>16428.900000000001</v>
      </c>
      <c r="T32" s="342"/>
      <c r="U32" s="282">
        <f>S32+T32</f>
        <v>16428.900000000001</v>
      </c>
      <c r="V32" s="346">
        <v>191</v>
      </c>
      <c r="W32" s="341">
        <v>35500</v>
      </c>
      <c r="X32" s="341"/>
      <c r="Y32" s="342">
        <f>SUM(V32:X32)</f>
        <v>35691</v>
      </c>
      <c r="Z32" s="342"/>
      <c r="AA32" s="282">
        <f>Y32+Z32</f>
        <v>35691</v>
      </c>
      <c r="AB32" s="283">
        <f>(AA32/O32)</f>
        <v>1.0402294328008466</v>
      </c>
      <c r="AC32" s="4"/>
      <c r="AD32" s="4"/>
    </row>
    <row r="33" spans="1:30" x14ac:dyDescent="0.25">
      <c r="A33" s="4"/>
      <c r="B33" s="284" t="s">
        <v>28</v>
      </c>
      <c r="C33" s="295" t="s">
        <v>42</v>
      </c>
      <c r="D33" s="345">
        <v>133.69999999999999</v>
      </c>
      <c r="E33" s="341">
        <v>32384.3</v>
      </c>
      <c r="F33" s="341"/>
      <c r="G33" s="342">
        <f>SUM(D33:F33)</f>
        <v>32518</v>
      </c>
      <c r="H33" s="342"/>
      <c r="I33" s="282">
        <f>G33+H33</f>
        <v>32518</v>
      </c>
      <c r="J33" s="598">
        <v>120</v>
      </c>
      <c r="K33" s="487">
        <v>34150.699999999997</v>
      </c>
      <c r="L33" s="487"/>
      <c r="M33" s="599">
        <f>SUM(J33:L33)</f>
        <v>34270.699999999997</v>
      </c>
      <c r="N33" s="599"/>
      <c r="O33" s="558">
        <f>M33+N33</f>
        <v>34270.699999999997</v>
      </c>
      <c r="P33" s="346"/>
      <c r="Q33" s="341">
        <v>15828.7</v>
      </c>
      <c r="R33" s="341"/>
      <c r="S33" s="342">
        <f>SUM(P33:R33)</f>
        <v>15828.7</v>
      </c>
      <c r="T33" s="342"/>
      <c r="U33" s="282">
        <f>S33+T33</f>
        <v>15828.7</v>
      </c>
      <c r="V33" s="346"/>
      <c r="W33" s="341">
        <v>34550</v>
      </c>
      <c r="X33" s="341"/>
      <c r="Y33" s="342">
        <f>SUM(V33:X33)</f>
        <v>34550</v>
      </c>
      <c r="Z33" s="342"/>
      <c r="AA33" s="282">
        <f>Y33+Z33</f>
        <v>34550</v>
      </c>
      <c r="AB33" s="283">
        <f>(AA33/O33)</f>
        <v>1.008149818941545</v>
      </c>
      <c r="AC33" s="4"/>
      <c r="AD33" s="4"/>
    </row>
    <row r="34" spans="1:30" x14ac:dyDescent="0.25">
      <c r="A34" s="4"/>
      <c r="B34" s="284" t="s">
        <v>30</v>
      </c>
      <c r="C34" s="349" t="s">
        <v>21</v>
      </c>
      <c r="D34" s="345" t="s">
        <v>87</v>
      </c>
      <c r="E34" s="341">
        <v>471</v>
      </c>
      <c r="F34" s="341"/>
      <c r="G34" s="342">
        <f>SUM(D34:F34)</f>
        <v>471</v>
      </c>
      <c r="H34" s="342"/>
      <c r="I34" s="282">
        <f>G34+H34</f>
        <v>471</v>
      </c>
      <c r="J34" s="598"/>
      <c r="K34" s="487">
        <v>40</v>
      </c>
      <c r="L34" s="487"/>
      <c r="M34" s="599">
        <f>SUM(J34:L34)</f>
        <v>40</v>
      </c>
      <c r="N34" s="599"/>
      <c r="O34" s="558">
        <f>M34+N34</f>
        <v>40</v>
      </c>
      <c r="P34" s="346" t="s">
        <v>87</v>
      </c>
      <c r="Q34" s="341">
        <v>600.20000000000005</v>
      </c>
      <c r="R34" s="341"/>
      <c r="S34" s="342">
        <f>SUM(P34:R34)</f>
        <v>600.20000000000005</v>
      </c>
      <c r="T34" s="342"/>
      <c r="U34" s="282">
        <f>S34+T34</f>
        <v>600.20000000000005</v>
      </c>
      <c r="V34" s="346"/>
      <c r="W34" s="341">
        <v>450</v>
      </c>
      <c r="X34" s="341"/>
      <c r="Y34" s="342">
        <f>SUM(V34:X34)</f>
        <v>450</v>
      </c>
      <c r="Z34" s="342"/>
      <c r="AA34" s="282">
        <f>Y34+Z34</f>
        <v>450</v>
      </c>
      <c r="AB34" s="283">
        <f>(AA34/O34)</f>
        <v>11.25</v>
      </c>
      <c r="AC34" s="4"/>
      <c r="AD34" s="4"/>
    </row>
    <row r="35" spans="1:30" x14ac:dyDescent="0.25">
      <c r="A35" s="4"/>
      <c r="B35" s="284" t="s">
        <v>32</v>
      </c>
      <c r="C35" s="299" t="s">
        <v>23</v>
      </c>
      <c r="D35" s="345">
        <v>60</v>
      </c>
      <c r="E35" s="341">
        <v>10763.1</v>
      </c>
      <c r="F35" s="341"/>
      <c r="G35" s="342">
        <f>SUM(D35:F35)</f>
        <v>10823.1</v>
      </c>
      <c r="H35" s="342"/>
      <c r="I35" s="282">
        <f>G35+H35</f>
        <v>10823.1</v>
      </c>
      <c r="J35" s="598">
        <v>68</v>
      </c>
      <c r="K35" s="487">
        <v>11569.9</v>
      </c>
      <c r="L35" s="487"/>
      <c r="M35" s="599">
        <f>SUM(J35:L35)</f>
        <v>11637.9</v>
      </c>
      <c r="N35" s="599"/>
      <c r="O35" s="558">
        <f>M35+N35</f>
        <v>11637.9</v>
      </c>
      <c r="P35" s="346">
        <v>7.7</v>
      </c>
      <c r="Q35" s="341">
        <v>5364.8</v>
      </c>
      <c r="R35" s="341"/>
      <c r="S35" s="342">
        <f>SUM(P35:R35)</f>
        <v>5372.5</v>
      </c>
      <c r="T35" s="342"/>
      <c r="U35" s="282">
        <f>S35+T35</f>
        <v>5372.5</v>
      </c>
      <c r="V35" s="346">
        <v>50</v>
      </c>
      <c r="W35" s="341">
        <v>12709</v>
      </c>
      <c r="X35" s="341"/>
      <c r="Y35" s="342">
        <f>SUM(V35:X35)</f>
        <v>12759</v>
      </c>
      <c r="Z35" s="342"/>
      <c r="AA35" s="282">
        <f>Y35+Z35</f>
        <v>12759</v>
      </c>
      <c r="AB35" s="283">
        <f>(AA35/O35)</f>
        <v>1.0963318124403887</v>
      </c>
      <c r="AC35" s="4"/>
      <c r="AD35" s="4"/>
    </row>
    <row r="36" spans="1:30" x14ac:dyDescent="0.25">
      <c r="A36" s="4"/>
      <c r="B36" s="284" t="s">
        <v>33</v>
      </c>
      <c r="C36" s="299" t="s">
        <v>25</v>
      </c>
      <c r="D36" s="341"/>
      <c r="E36" s="341"/>
      <c r="F36" s="341">
        <v>44.1</v>
      </c>
      <c r="G36" s="342">
        <f>SUM(D36:F36)</f>
        <v>44.1</v>
      </c>
      <c r="H36" s="342"/>
      <c r="I36" s="282">
        <f>G36+H36</f>
        <v>44.1</v>
      </c>
      <c r="J36" s="598">
        <v>13</v>
      </c>
      <c r="K36" s="487"/>
      <c r="L36" s="487"/>
      <c r="M36" s="599">
        <f>SUM(J36:L36)</f>
        <v>13</v>
      </c>
      <c r="N36" s="599"/>
      <c r="O36" s="558">
        <f>M36+N36</f>
        <v>13</v>
      </c>
      <c r="P36" s="343"/>
      <c r="Q36" s="341"/>
      <c r="R36" s="341">
        <v>32.5</v>
      </c>
      <c r="S36" s="342">
        <f>SUM(P36:R36)</f>
        <v>32.5</v>
      </c>
      <c r="T36" s="342"/>
      <c r="U36" s="282">
        <f>S36+T36</f>
        <v>32.5</v>
      </c>
      <c r="V36" s="343"/>
      <c r="W36" s="341"/>
      <c r="X36" s="341">
        <v>65</v>
      </c>
      <c r="Y36" s="342">
        <f>SUM(V36:X36)</f>
        <v>65</v>
      </c>
      <c r="Z36" s="342"/>
      <c r="AA36" s="282">
        <f>Y36+Z36</f>
        <v>65</v>
      </c>
      <c r="AB36" s="283">
        <f>(AA36/O36)</f>
        <v>5</v>
      </c>
      <c r="AC36" s="4"/>
      <c r="AD36" s="4"/>
    </row>
    <row r="37" spans="1:30" x14ac:dyDescent="0.25">
      <c r="A37" s="4"/>
      <c r="B37" s="284" t="s">
        <v>34</v>
      </c>
      <c r="C37" s="299" t="s">
        <v>27</v>
      </c>
      <c r="D37" s="341">
        <v>679.3</v>
      </c>
      <c r="E37" s="341"/>
      <c r="F37" s="341">
        <v>977</v>
      </c>
      <c r="G37" s="342">
        <f>SUM(D37:F37)</f>
        <v>1656.3</v>
      </c>
      <c r="H37" s="342"/>
      <c r="I37" s="282">
        <f>G37+H37</f>
        <v>1656.3</v>
      </c>
      <c r="J37" s="598">
        <v>1058.0999999999999</v>
      </c>
      <c r="K37" s="487"/>
      <c r="L37" s="487">
        <v>977</v>
      </c>
      <c r="M37" s="599">
        <f>SUM(J37:L37)</f>
        <v>2035.1</v>
      </c>
      <c r="N37" s="599"/>
      <c r="O37" s="558">
        <f>M37+N37</f>
        <v>2035.1</v>
      </c>
      <c r="P37" s="343">
        <v>527</v>
      </c>
      <c r="Q37" s="341"/>
      <c r="R37" s="341">
        <v>488.5</v>
      </c>
      <c r="S37" s="342">
        <f>SUM(P37:R37)</f>
        <v>1015.5</v>
      </c>
      <c r="T37" s="342"/>
      <c r="U37" s="282">
        <f>S37+T37</f>
        <v>1015.5</v>
      </c>
      <c r="V37" s="343">
        <v>1058.0999999999999</v>
      </c>
      <c r="W37" s="341"/>
      <c r="X37" s="341">
        <v>977</v>
      </c>
      <c r="Y37" s="342">
        <f>SUM(V37:X37)</f>
        <v>2035.1</v>
      </c>
      <c r="Z37" s="342"/>
      <c r="AA37" s="282">
        <f>Y37+Z37</f>
        <v>2035.1</v>
      </c>
      <c r="AB37" s="283">
        <f>(AA37/O37)</f>
        <v>1</v>
      </c>
      <c r="AC37" s="4"/>
      <c r="AD37" s="4"/>
    </row>
    <row r="38" spans="1:30" ht="15.75" thickBot="1" x14ac:dyDescent="0.3">
      <c r="A38" s="4"/>
      <c r="B38" s="502" t="s">
        <v>35</v>
      </c>
      <c r="C38" s="350" t="s">
        <v>29</v>
      </c>
      <c r="D38" s="351">
        <v>398.9</v>
      </c>
      <c r="E38" s="351">
        <v>1727.3</v>
      </c>
      <c r="F38" s="351">
        <v>4.5999999999999996</v>
      </c>
      <c r="G38" s="342">
        <f>SUM(D38:F38)</f>
        <v>2130.7999999999997</v>
      </c>
      <c r="H38" s="352"/>
      <c r="I38" s="308">
        <f>G38+H38</f>
        <v>2130.7999999999997</v>
      </c>
      <c r="J38" s="600">
        <v>1085.0999999999999</v>
      </c>
      <c r="K38" s="601">
        <v>1526.4</v>
      </c>
      <c r="L38" s="601">
        <v>250</v>
      </c>
      <c r="M38" s="602">
        <f>SUM(J38:L38)</f>
        <v>2861.5</v>
      </c>
      <c r="N38" s="602"/>
      <c r="O38" s="574">
        <f>M38+N38</f>
        <v>2861.5</v>
      </c>
      <c r="P38" s="353">
        <v>131.4</v>
      </c>
      <c r="Q38" s="351">
        <v>489.8</v>
      </c>
      <c r="R38" s="351"/>
      <c r="S38" s="352">
        <f>SUM(P38:R38)</f>
        <v>621.20000000000005</v>
      </c>
      <c r="T38" s="352"/>
      <c r="U38" s="308">
        <f>S38+T38</f>
        <v>621.20000000000005</v>
      </c>
      <c r="V38" s="353">
        <v>461.9</v>
      </c>
      <c r="W38" s="351">
        <v>1046</v>
      </c>
      <c r="X38" s="351">
        <v>375</v>
      </c>
      <c r="Y38" s="352">
        <f>SUM(V38:X38)</f>
        <v>1882.9</v>
      </c>
      <c r="Z38" s="352"/>
      <c r="AA38" s="308">
        <f>Y38+Z38</f>
        <v>1882.9</v>
      </c>
      <c r="AB38" s="309">
        <f>(AA38/O38)</f>
        <v>0.65801153241307009</v>
      </c>
      <c r="AC38" s="4"/>
      <c r="AD38" s="4"/>
    </row>
    <row r="39" spans="1:30" ht="15.75" thickBot="1" x14ac:dyDescent="0.3">
      <c r="A39" s="4"/>
      <c r="B39" s="310" t="s">
        <v>48</v>
      </c>
      <c r="C39" s="354" t="s">
        <v>31</v>
      </c>
      <c r="D39" s="355">
        <f>SUM(D35:D38)+SUM(D28:D32)</f>
        <v>6969.1999999999989</v>
      </c>
      <c r="E39" s="355">
        <f>SUM(E35:E38)+SUM(E28:E32)</f>
        <v>45585.4</v>
      </c>
      <c r="F39" s="355">
        <f>SUM(F35:F38)+SUM(F28:F32)</f>
        <v>3531.1000000000004</v>
      </c>
      <c r="G39" s="356">
        <f>SUM(D39:F39)</f>
        <v>56085.7</v>
      </c>
      <c r="H39" s="357">
        <f>SUM(H28:H32)+SUM(H35:H38)</f>
        <v>70.8</v>
      </c>
      <c r="I39" s="358">
        <f>SUM(I35:I38)+SUM(I28:I32)</f>
        <v>56156.5</v>
      </c>
      <c r="J39" s="603">
        <f>SUM(J35:J38)+SUM(J28:J32)</f>
        <v>8946</v>
      </c>
      <c r="K39" s="603">
        <f>SUM(K35:K38)+SUM(K28:K32)</f>
        <v>47587</v>
      </c>
      <c r="L39" s="603">
        <f>SUM(L35:L38)+SUM(L28:L32)</f>
        <v>3297</v>
      </c>
      <c r="M39" s="604">
        <f>SUM(J39:L39)</f>
        <v>59830</v>
      </c>
      <c r="N39" s="605">
        <f>SUM(N28:N38)</f>
        <v>215</v>
      </c>
      <c r="O39" s="606">
        <f>SUM(O35:O38)+SUM(O28:O32)</f>
        <v>60045</v>
      </c>
      <c r="P39" s="355">
        <f>SUM(P35:P38)+SUM(P28:P32)</f>
        <v>3915.6</v>
      </c>
      <c r="Q39" s="355">
        <f>SUM(Q35:Q38)+SUM(Q28:Q32)</f>
        <v>22666.9</v>
      </c>
      <c r="R39" s="355">
        <f>SUM(R35:R38)+SUM(R28:R32)</f>
        <v>2047.3</v>
      </c>
      <c r="S39" s="356">
        <f>SUM(P39:R39)</f>
        <v>28629.8</v>
      </c>
      <c r="T39" s="357">
        <f>SUM(T28:T32)+SUM(T35:T38)</f>
        <v>40.9</v>
      </c>
      <c r="U39" s="358">
        <f>SUM(U35:U38)+SUM(U28:U32)</f>
        <v>28670.7</v>
      </c>
      <c r="V39" s="355">
        <f>SUM(V35:V38)+SUM(V28:V32)</f>
        <v>8988.7000000000007</v>
      </c>
      <c r="W39" s="355">
        <f>SUM(W35:W38)+SUM(W28:W32)</f>
        <v>49500</v>
      </c>
      <c r="X39" s="355">
        <f>SUM(X35:X38)+SUM(X28:X32)</f>
        <v>3977</v>
      </c>
      <c r="Y39" s="356">
        <f>SUM(V39:X39)</f>
        <v>62465.7</v>
      </c>
      <c r="Z39" s="357">
        <f>SUM(Z28:Z32)+SUM(Z35:Z38)</f>
        <v>300</v>
      </c>
      <c r="AA39" s="358">
        <f>SUM(AA35:AA38)+SUM(AA28:AA32)</f>
        <v>62765.7</v>
      </c>
      <c r="AB39" s="359">
        <f>(AA39/O39)</f>
        <v>1.0453110167374469</v>
      </c>
      <c r="AC39" s="4"/>
      <c r="AD39" s="4"/>
    </row>
    <row r="40" spans="1:30" ht="19.5" thickBot="1" x14ac:dyDescent="0.35">
      <c r="A40" s="4"/>
      <c r="B40" s="360" t="s">
        <v>49</v>
      </c>
      <c r="C40" s="361" t="s">
        <v>51</v>
      </c>
      <c r="D40" s="362">
        <f>D24-D39</f>
        <v>-493.89999999999873</v>
      </c>
      <c r="E40" s="362">
        <f>E24-E39</f>
        <v>0</v>
      </c>
      <c r="F40" s="362">
        <f>F24-F39</f>
        <v>536.80000000000018</v>
      </c>
      <c r="G40" s="363">
        <f>G24-G39</f>
        <v>42.900000000008731</v>
      </c>
      <c r="H40" s="363">
        <f>H24-H39</f>
        <v>239.8</v>
      </c>
      <c r="I40" s="364">
        <f>I24-I39</f>
        <v>282.70000000001164</v>
      </c>
      <c r="J40" s="362">
        <f>J24-J39</f>
        <v>0</v>
      </c>
      <c r="K40" s="362">
        <f>K24-K39</f>
        <v>0</v>
      </c>
      <c r="L40" s="362">
        <f>L24-L39</f>
        <v>0</v>
      </c>
      <c r="M40" s="607">
        <f>M24-M39</f>
        <v>0</v>
      </c>
      <c r="N40" s="607">
        <f>N24-N39</f>
        <v>0</v>
      </c>
      <c r="O40" s="608">
        <f>O24-O39</f>
        <v>0</v>
      </c>
      <c r="P40" s="362">
        <f>P24-P39</f>
        <v>656.90000000000009</v>
      </c>
      <c r="Q40" s="362">
        <f>Q24-Q39</f>
        <v>15.299999999999272</v>
      </c>
      <c r="R40" s="362">
        <f>R24-R39</f>
        <v>242.10000000000014</v>
      </c>
      <c r="S40" s="363">
        <f>S24-S39</f>
        <v>914.30000000000291</v>
      </c>
      <c r="T40" s="363">
        <f>T24-T39</f>
        <v>154.6</v>
      </c>
      <c r="U40" s="364">
        <f>U24-U39</f>
        <v>1068.9000000000015</v>
      </c>
      <c r="V40" s="362">
        <f>V24-V39</f>
        <v>0</v>
      </c>
      <c r="W40" s="362">
        <f>W24-W39</f>
        <v>0</v>
      </c>
      <c r="X40" s="362">
        <f>X24-X39</f>
        <v>0</v>
      </c>
      <c r="Y40" s="363">
        <f>Y24-Y39</f>
        <v>0</v>
      </c>
      <c r="Z40" s="363">
        <f>Z24-Z39</f>
        <v>0</v>
      </c>
      <c r="AA40" s="364">
        <f>AA24-AA39</f>
        <v>0</v>
      </c>
      <c r="AB40" s="365" t="e">
        <f>(AA40/O40)</f>
        <v>#DIV/0!</v>
      </c>
      <c r="AC40" s="4"/>
      <c r="AD40" s="4"/>
    </row>
    <row r="41" spans="1:30" ht="15.75" thickBot="1" x14ac:dyDescent="0.3">
      <c r="A41" s="4"/>
      <c r="B41" s="366" t="s">
        <v>50</v>
      </c>
      <c r="C41" s="367" t="s">
        <v>65</v>
      </c>
      <c r="D41" s="368"/>
      <c r="E41" s="369"/>
      <c r="F41" s="369"/>
      <c r="G41" s="370"/>
      <c r="H41" s="371"/>
      <c r="I41" s="372">
        <f>I40-D16</f>
        <v>-5916.3999999999887</v>
      </c>
      <c r="J41" s="368"/>
      <c r="K41" s="369"/>
      <c r="L41" s="369"/>
      <c r="M41" s="370"/>
      <c r="N41" s="373"/>
      <c r="O41" s="372">
        <f>O40-J16</f>
        <v>-8610.9</v>
      </c>
      <c r="P41" s="368"/>
      <c r="Q41" s="369"/>
      <c r="R41" s="369"/>
      <c r="S41" s="370"/>
      <c r="T41" s="373"/>
      <c r="U41" s="372">
        <f>U40-P16</f>
        <v>-3442.0999999999985</v>
      </c>
      <c r="V41" s="368"/>
      <c r="W41" s="369"/>
      <c r="X41" s="369"/>
      <c r="Y41" s="370"/>
      <c r="Z41" s="373"/>
      <c r="AA41" s="372">
        <f>AA40-V16</f>
        <v>-8700</v>
      </c>
      <c r="AB41" s="283">
        <f>(AA41/O41)</f>
        <v>1.0103473504511724</v>
      </c>
      <c r="AC41" s="4"/>
      <c r="AD41" s="4"/>
    </row>
    <row r="42" spans="1:30" ht="8.25" customHeight="1" thickBot="1" x14ac:dyDescent="0.3">
      <c r="A42" s="4"/>
      <c r="B42" s="374"/>
      <c r="C42" s="375"/>
      <c r="D42" s="376"/>
      <c r="E42" s="377"/>
      <c r="F42" s="377"/>
      <c r="G42" s="4"/>
      <c r="H42" s="377"/>
      <c r="I42" s="377"/>
      <c r="J42" s="376"/>
      <c r="K42" s="377"/>
      <c r="L42" s="377"/>
      <c r="M42" s="4"/>
      <c r="N42" s="377"/>
      <c r="O42" s="377"/>
      <c r="P42" s="377"/>
      <c r="Q42" s="377"/>
      <c r="R42" s="377"/>
      <c r="S42" s="377"/>
      <c r="T42" s="377"/>
      <c r="U42" s="377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thickBot="1" x14ac:dyDescent="0.3">
      <c r="A43" s="4"/>
      <c r="B43" s="374"/>
      <c r="C43" s="378" t="s">
        <v>82</v>
      </c>
      <c r="D43" s="106" t="s">
        <v>41</v>
      </c>
      <c r="E43" s="379" t="s">
        <v>83</v>
      </c>
      <c r="F43" s="380" t="s">
        <v>36</v>
      </c>
      <c r="G43" s="377"/>
      <c r="H43" s="377"/>
      <c r="I43" s="381"/>
      <c r="J43" s="106" t="s">
        <v>41</v>
      </c>
      <c r="K43" s="379" t="s">
        <v>83</v>
      </c>
      <c r="L43" s="380" t="s">
        <v>36</v>
      </c>
      <c r="M43" s="377"/>
      <c r="N43" s="377"/>
      <c r="O43" s="377"/>
      <c r="P43" s="106" t="s">
        <v>41</v>
      </c>
      <c r="Q43" s="379" t="s">
        <v>83</v>
      </c>
      <c r="R43" s="380" t="s">
        <v>36</v>
      </c>
      <c r="S43" s="4"/>
      <c r="T43" s="4"/>
      <c r="U43" s="4"/>
      <c r="V43" s="106" t="s">
        <v>41</v>
      </c>
      <c r="W43" s="379" t="s">
        <v>83</v>
      </c>
      <c r="X43" s="380" t="s">
        <v>36</v>
      </c>
      <c r="Y43" s="4"/>
      <c r="Z43" s="4"/>
      <c r="AA43" s="4"/>
      <c r="AB43" s="4"/>
      <c r="AC43" s="4"/>
      <c r="AD43" s="4"/>
    </row>
    <row r="44" spans="1:30" ht="15.75" thickBot="1" x14ac:dyDescent="0.3">
      <c r="A44" s="4"/>
      <c r="B44" s="374"/>
      <c r="C44" s="382"/>
      <c r="D44" s="383">
        <v>510.9</v>
      </c>
      <c r="E44" s="384">
        <v>510.9</v>
      </c>
      <c r="F44" s="385">
        <v>0</v>
      </c>
      <c r="G44" s="377"/>
      <c r="H44" s="377"/>
      <c r="I44" s="381"/>
      <c r="J44" s="383">
        <v>887.6</v>
      </c>
      <c r="K44" s="384">
        <v>887.6</v>
      </c>
      <c r="L44" s="385">
        <v>0</v>
      </c>
      <c r="M44" s="386"/>
      <c r="N44" s="386"/>
      <c r="O44" s="386"/>
      <c r="P44" s="383">
        <v>443.8</v>
      </c>
      <c r="Q44" s="384">
        <v>443.8</v>
      </c>
      <c r="R44" s="385">
        <v>0</v>
      </c>
      <c r="S44" s="4"/>
      <c r="T44" s="4"/>
      <c r="U44" s="4"/>
      <c r="V44" s="383">
        <v>887.6</v>
      </c>
      <c r="W44" s="384">
        <v>887.6</v>
      </c>
      <c r="X44" s="385">
        <v>0</v>
      </c>
      <c r="Y44" s="4"/>
      <c r="Z44" s="4"/>
      <c r="AA44" s="4"/>
      <c r="AB44" s="4"/>
      <c r="AC44" s="4"/>
      <c r="AD44" s="4"/>
    </row>
    <row r="45" spans="1:30" ht="8.25" customHeight="1" thickBot="1" x14ac:dyDescent="0.3">
      <c r="A45" s="4"/>
      <c r="B45" s="374"/>
      <c r="C45" s="375"/>
      <c r="D45" s="386"/>
      <c r="E45" s="377"/>
      <c r="F45" s="377"/>
      <c r="G45" s="377"/>
      <c r="H45" s="377"/>
      <c r="I45" s="381"/>
      <c r="J45" s="377"/>
      <c r="K45" s="377"/>
      <c r="L45" s="377"/>
      <c r="M45" s="377"/>
      <c r="N45" s="377"/>
      <c r="O45" s="381"/>
      <c r="P45" s="381"/>
      <c r="Q45" s="381"/>
      <c r="R45" s="381"/>
      <c r="S45" s="381"/>
      <c r="T45" s="381"/>
      <c r="U45" s="381"/>
      <c r="V45" s="4"/>
      <c r="W45" s="4"/>
      <c r="X45" s="4"/>
      <c r="Y45" s="4"/>
      <c r="Z45" s="4"/>
      <c r="AA45" s="4"/>
      <c r="AB45" s="4"/>
      <c r="AC45" s="4"/>
      <c r="AD45" s="4"/>
    </row>
    <row r="46" spans="1:30" ht="37.5" customHeight="1" thickBot="1" x14ac:dyDescent="0.3">
      <c r="A46" s="4"/>
      <c r="B46" s="374"/>
      <c r="C46" s="378" t="s">
        <v>85</v>
      </c>
      <c r="D46" s="95" t="s">
        <v>86</v>
      </c>
      <c r="E46" s="387" t="s">
        <v>84</v>
      </c>
      <c r="F46" s="377"/>
      <c r="G46" s="377"/>
      <c r="H46" s="377"/>
      <c r="I46" s="381"/>
      <c r="J46" s="95" t="s">
        <v>86</v>
      </c>
      <c r="K46" s="387" t="s">
        <v>84</v>
      </c>
      <c r="L46" s="388"/>
      <c r="M46" s="388"/>
      <c r="N46" s="4"/>
      <c r="O46" s="4"/>
      <c r="P46" s="95" t="s">
        <v>86</v>
      </c>
      <c r="Q46" s="387" t="s">
        <v>84</v>
      </c>
      <c r="R46" s="4"/>
      <c r="S46" s="4"/>
      <c r="T46" s="4"/>
      <c r="U46" s="4"/>
      <c r="V46" s="95" t="s">
        <v>86</v>
      </c>
      <c r="W46" s="387" t="s">
        <v>84</v>
      </c>
      <c r="X46" s="4"/>
      <c r="Y46" s="4"/>
      <c r="Z46" s="4"/>
      <c r="AA46" s="4"/>
      <c r="AB46" s="4"/>
      <c r="AC46" s="4"/>
      <c r="AD46" s="4"/>
    </row>
    <row r="47" spans="1:30" ht="15.75" thickBot="1" x14ac:dyDescent="0.3">
      <c r="A47" s="4"/>
      <c r="B47" s="389"/>
      <c r="C47" s="390"/>
      <c r="D47" s="383">
        <v>0</v>
      </c>
      <c r="E47" s="391">
        <v>0</v>
      </c>
      <c r="F47" s="377"/>
      <c r="G47" s="377"/>
      <c r="H47" s="377"/>
      <c r="I47" s="381"/>
      <c r="J47" s="383">
        <v>0</v>
      </c>
      <c r="K47" s="391">
        <v>0</v>
      </c>
      <c r="L47" s="392"/>
      <c r="M47" s="392"/>
      <c r="N47" s="4"/>
      <c r="O47" s="4"/>
      <c r="P47" s="383">
        <v>0</v>
      </c>
      <c r="Q47" s="391">
        <v>0</v>
      </c>
      <c r="R47" s="4"/>
      <c r="S47" s="4"/>
      <c r="T47" s="4"/>
      <c r="U47" s="4"/>
      <c r="V47" s="383">
        <v>0</v>
      </c>
      <c r="W47" s="391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4"/>
      <c r="B48" s="389"/>
      <c r="C48" s="375"/>
      <c r="D48" s="377"/>
      <c r="E48" s="377"/>
      <c r="F48" s="377"/>
      <c r="G48" s="377"/>
      <c r="H48" s="377"/>
      <c r="I48" s="381"/>
      <c r="J48" s="377"/>
      <c r="K48" s="377"/>
      <c r="L48" s="377"/>
      <c r="M48" s="377"/>
      <c r="N48" s="377"/>
      <c r="O48" s="381"/>
      <c r="P48" s="381"/>
      <c r="Q48" s="381"/>
      <c r="R48" s="381"/>
      <c r="S48" s="381"/>
      <c r="T48" s="381"/>
      <c r="U48" s="381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4"/>
      <c r="B49" s="389"/>
      <c r="C49" s="393" t="s">
        <v>81</v>
      </c>
      <c r="D49" s="394" t="s">
        <v>72</v>
      </c>
      <c r="E49" s="394" t="s">
        <v>73</v>
      </c>
      <c r="F49" s="394" t="s">
        <v>91</v>
      </c>
      <c r="G49" s="394" t="s">
        <v>93</v>
      </c>
      <c r="H49" s="377"/>
      <c r="I49" s="4"/>
      <c r="J49" s="394" t="s">
        <v>72</v>
      </c>
      <c r="K49" s="394" t="s">
        <v>73</v>
      </c>
      <c r="L49" s="394" t="s">
        <v>91</v>
      </c>
      <c r="M49" s="394" t="s">
        <v>94</v>
      </c>
      <c r="N49" s="4"/>
      <c r="O49" s="4"/>
      <c r="P49" s="394" t="s">
        <v>72</v>
      </c>
      <c r="Q49" s="394" t="s">
        <v>73</v>
      </c>
      <c r="R49" s="394" t="s">
        <v>91</v>
      </c>
      <c r="S49" s="394" t="s">
        <v>94</v>
      </c>
      <c r="T49" s="4"/>
      <c r="U49" s="4"/>
      <c r="V49" s="394" t="s">
        <v>95</v>
      </c>
      <c r="W49" s="394" t="s">
        <v>73</v>
      </c>
      <c r="X49" s="394" t="s">
        <v>91</v>
      </c>
      <c r="Y49" s="394" t="s">
        <v>94</v>
      </c>
      <c r="Z49" s="4"/>
      <c r="AA49" s="4"/>
      <c r="AB49" s="4"/>
      <c r="AC49" s="4"/>
      <c r="AD49" s="4"/>
    </row>
    <row r="50" spans="1:30" x14ac:dyDescent="0.25">
      <c r="A50" s="4"/>
      <c r="B50" s="389"/>
      <c r="C50" s="395" t="s">
        <v>117</v>
      </c>
      <c r="D50" s="396"/>
      <c r="E50" s="396"/>
      <c r="F50" s="396"/>
      <c r="G50" s="397">
        <f>D50+E50-F50</f>
        <v>0</v>
      </c>
      <c r="H50" s="377"/>
      <c r="I50" s="4"/>
      <c r="J50" s="397">
        <f>G50+H50-I50</f>
        <v>0</v>
      </c>
      <c r="K50" s="396"/>
      <c r="L50" s="396"/>
      <c r="M50" s="397">
        <f>J50+K50-L50</f>
        <v>0</v>
      </c>
      <c r="N50" s="4"/>
      <c r="O50" s="4"/>
      <c r="P50" s="396"/>
      <c r="Q50" s="396"/>
      <c r="R50" s="396"/>
      <c r="S50" s="397"/>
      <c r="T50" s="4"/>
      <c r="U50" s="4"/>
      <c r="V50" s="396"/>
      <c r="W50" s="396"/>
      <c r="X50" s="396"/>
      <c r="Y50" s="397">
        <f>V50+W50-X50</f>
        <v>0</v>
      </c>
      <c r="Z50" s="4"/>
      <c r="AA50" s="4"/>
      <c r="AB50" s="4"/>
      <c r="AC50" s="4"/>
      <c r="AD50" s="4"/>
    </row>
    <row r="51" spans="1:30" x14ac:dyDescent="0.25">
      <c r="A51" s="4"/>
      <c r="B51" s="389"/>
      <c r="C51" s="395" t="s">
        <v>70</v>
      </c>
      <c r="D51" s="396">
        <v>758.4</v>
      </c>
      <c r="E51" s="396">
        <v>779.9</v>
      </c>
      <c r="F51" s="396">
        <v>300</v>
      </c>
      <c r="G51" s="397">
        <f>D51+E51-F51</f>
        <v>1238.3</v>
      </c>
      <c r="H51" s="377"/>
      <c r="I51" s="4"/>
      <c r="J51" s="397">
        <f>G51+H51-I51</f>
        <v>1238.3</v>
      </c>
      <c r="K51" s="396">
        <v>200</v>
      </c>
      <c r="L51" s="396">
        <v>250</v>
      </c>
      <c r="M51" s="397">
        <f>J51+K51-L51</f>
        <v>1188.3</v>
      </c>
      <c r="N51" s="4"/>
      <c r="O51" s="4"/>
      <c r="P51" s="396">
        <v>1238.3</v>
      </c>
      <c r="Q51" s="396">
        <v>282.5</v>
      </c>
      <c r="R51" s="396">
        <v>375</v>
      </c>
      <c r="S51" s="397">
        <f>P51+Q51-R51</f>
        <v>1145.8</v>
      </c>
      <c r="T51" s="4"/>
      <c r="U51" s="4"/>
      <c r="V51" s="396">
        <v>1188.3</v>
      </c>
      <c r="W51" s="396">
        <v>120</v>
      </c>
      <c r="X51" s="396">
        <v>100</v>
      </c>
      <c r="Y51" s="397">
        <f>V51+W51-X51</f>
        <v>1208.3</v>
      </c>
      <c r="Z51" s="4"/>
      <c r="AA51" s="4"/>
      <c r="AB51" s="4"/>
      <c r="AC51" s="4"/>
      <c r="AD51" s="4"/>
    </row>
    <row r="52" spans="1:30" x14ac:dyDescent="0.25">
      <c r="A52" s="4"/>
      <c r="B52" s="389"/>
      <c r="C52" s="395" t="s">
        <v>71</v>
      </c>
      <c r="D52" s="396">
        <v>219.7</v>
      </c>
      <c r="E52" s="396">
        <v>979.3</v>
      </c>
      <c r="F52" s="396">
        <v>977</v>
      </c>
      <c r="G52" s="397">
        <f>D52+E52-F52</f>
        <v>222</v>
      </c>
      <c r="H52" s="377"/>
      <c r="I52" s="4"/>
      <c r="J52" s="397">
        <f>G52+H52-I52</f>
        <v>222</v>
      </c>
      <c r="K52" s="396">
        <v>1258.0999999999999</v>
      </c>
      <c r="L52" s="396">
        <v>1087.5999999999999</v>
      </c>
      <c r="M52" s="397">
        <f>J52+K52-L52</f>
        <v>392.5</v>
      </c>
      <c r="N52" s="4"/>
      <c r="O52" s="4"/>
      <c r="P52" s="396">
        <v>222</v>
      </c>
      <c r="Q52" s="396">
        <v>528.1</v>
      </c>
      <c r="R52" s="396">
        <v>443.8</v>
      </c>
      <c r="S52" s="397">
        <f>P52+Q52-R52</f>
        <v>306.3</v>
      </c>
      <c r="T52" s="4"/>
      <c r="U52" s="4"/>
      <c r="V52" s="396">
        <v>392.5</v>
      </c>
      <c r="W52" s="396">
        <v>1060</v>
      </c>
      <c r="X52" s="396">
        <v>1087.5999999999999</v>
      </c>
      <c r="Y52" s="397">
        <f>V52+W52-X52</f>
        <v>364.90000000000009</v>
      </c>
      <c r="Z52" s="4"/>
      <c r="AA52" s="4"/>
      <c r="AB52" s="4"/>
      <c r="AC52" s="4"/>
      <c r="AD52" s="4"/>
    </row>
    <row r="53" spans="1:30" x14ac:dyDescent="0.25">
      <c r="A53" s="4"/>
      <c r="B53" s="389"/>
      <c r="C53" s="395" t="s">
        <v>88</v>
      </c>
      <c r="D53" s="396">
        <v>319.60000000000002</v>
      </c>
      <c r="E53" s="396">
        <v>101.2</v>
      </c>
      <c r="F53" s="396"/>
      <c r="G53" s="397">
        <f>D53+E53-F53</f>
        <v>420.8</v>
      </c>
      <c r="H53" s="377"/>
      <c r="I53" s="4"/>
      <c r="J53" s="397">
        <f>G53+H53-I53</f>
        <v>420.8</v>
      </c>
      <c r="K53" s="396">
        <v>40</v>
      </c>
      <c r="L53" s="396">
        <v>20</v>
      </c>
      <c r="M53" s="397">
        <f>J53+K53-L53</f>
        <v>440.8</v>
      </c>
      <c r="N53" s="4"/>
      <c r="O53" s="4"/>
      <c r="P53" s="396">
        <v>420.8</v>
      </c>
      <c r="Q53" s="396">
        <v>0</v>
      </c>
      <c r="R53" s="396">
        <v>0</v>
      </c>
      <c r="S53" s="397">
        <f>P53+Q53-R53</f>
        <v>420.8</v>
      </c>
      <c r="T53" s="4"/>
      <c r="U53" s="4"/>
      <c r="V53" s="396">
        <v>440.8</v>
      </c>
      <c r="W53" s="396">
        <v>0</v>
      </c>
      <c r="X53" s="396">
        <v>4.2</v>
      </c>
      <c r="Y53" s="397">
        <f>V53+W53-X53</f>
        <v>436.6</v>
      </c>
      <c r="Z53" s="4"/>
      <c r="AA53" s="4"/>
      <c r="AB53" s="4"/>
      <c r="AC53" s="4"/>
      <c r="AD53" s="4"/>
    </row>
    <row r="54" spans="1:30" x14ac:dyDescent="0.25">
      <c r="A54" s="4"/>
      <c r="B54" s="389"/>
      <c r="C54" s="398" t="s">
        <v>89</v>
      </c>
      <c r="D54" s="396">
        <v>433.6</v>
      </c>
      <c r="E54" s="396">
        <v>651.79999999999995</v>
      </c>
      <c r="F54" s="396">
        <v>557.4</v>
      </c>
      <c r="G54" s="397">
        <f>D54+E54-F54</f>
        <v>528.00000000000011</v>
      </c>
      <c r="H54" s="377"/>
      <c r="I54" s="4"/>
      <c r="J54" s="397">
        <f>G54+H54-I54</f>
        <v>528.00000000000011</v>
      </c>
      <c r="K54" s="396">
        <v>580</v>
      </c>
      <c r="L54" s="396">
        <v>560</v>
      </c>
      <c r="M54" s="397">
        <f>J54+K54-L54</f>
        <v>548</v>
      </c>
      <c r="N54" s="4"/>
      <c r="O54" s="4"/>
      <c r="P54" s="396">
        <v>528</v>
      </c>
      <c r="Q54" s="396">
        <v>324.10000000000002</v>
      </c>
      <c r="R54" s="396">
        <v>414</v>
      </c>
      <c r="S54" s="397">
        <f>P54+Q54-R54</f>
        <v>438.1</v>
      </c>
      <c r="T54" s="4"/>
      <c r="U54" s="4"/>
      <c r="V54" s="396">
        <v>548</v>
      </c>
      <c r="W54" s="396">
        <v>350</v>
      </c>
      <c r="X54" s="396">
        <v>500</v>
      </c>
      <c r="Y54" s="397">
        <f>V54+W54-X54</f>
        <v>398</v>
      </c>
      <c r="Z54" s="4"/>
      <c r="AA54" s="4"/>
      <c r="AB54" s="4"/>
      <c r="AC54" s="4"/>
      <c r="AD54" s="4"/>
    </row>
    <row r="55" spans="1:30" ht="10.5" customHeight="1" x14ac:dyDescent="0.25">
      <c r="A55" s="4"/>
      <c r="B55" s="389"/>
      <c r="C55" s="375"/>
      <c r="D55" s="377"/>
      <c r="E55" s="377"/>
      <c r="F55" s="377"/>
      <c r="G55" s="377"/>
      <c r="H55" s="37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4"/>
      <c r="B56" s="389"/>
      <c r="C56" s="393" t="s">
        <v>74</v>
      </c>
      <c r="D56" s="394" t="s">
        <v>75</v>
      </c>
      <c r="E56" s="394" t="s">
        <v>96</v>
      </c>
      <c r="F56" s="377"/>
      <c r="G56" s="377"/>
      <c r="H56" s="377"/>
      <c r="I56" s="381"/>
      <c r="J56" s="394" t="s">
        <v>97</v>
      </c>
      <c r="K56" s="377"/>
      <c r="L56" s="377"/>
      <c r="M56" s="377"/>
      <c r="N56" s="377"/>
      <c r="O56" s="381"/>
      <c r="P56" s="394" t="s">
        <v>98</v>
      </c>
      <c r="Q56" s="381"/>
      <c r="R56" s="381"/>
      <c r="S56" s="381"/>
      <c r="T56" s="381"/>
      <c r="U56" s="381"/>
      <c r="V56" s="394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4"/>
      <c r="B57" s="389"/>
      <c r="C57" s="395"/>
      <c r="D57" s="399">
        <v>61</v>
      </c>
      <c r="E57" s="399">
        <v>65.5</v>
      </c>
      <c r="F57" s="377"/>
      <c r="G57" s="377"/>
      <c r="H57" s="377"/>
      <c r="I57" s="381"/>
      <c r="J57" s="399">
        <v>60</v>
      </c>
      <c r="K57" s="377"/>
      <c r="L57" s="377"/>
      <c r="M57" s="377"/>
      <c r="N57" s="377"/>
      <c r="O57" s="381"/>
      <c r="P57" s="399">
        <v>65</v>
      </c>
      <c r="Q57" s="381"/>
      <c r="R57" s="381"/>
      <c r="S57" s="381"/>
      <c r="T57" s="381"/>
      <c r="U57" s="381"/>
      <c r="V57" s="399">
        <v>65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4"/>
      <c r="B58" s="389"/>
      <c r="C58" s="375"/>
      <c r="D58" s="377"/>
      <c r="E58" s="377"/>
      <c r="F58" s="377"/>
      <c r="G58" s="377"/>
      <c r="H58" s="377"/>
      <c r="I58" s="381"/>
      <c r="J58" s="377"/>
      <c r="K58" s="377"/>
      <c r="L58" s="377"/>
      <c r="M58" s="377"/>
      <c r="N58" s="377"/>
      <c r="O58" s="381"/>
      <c r="P58" s="381"/>
      <c r="Q58" s="381"/>
      <c r="R58" s="381"/>
      <c r="S58" s="381"/>
      <c r="T58" s="381"/>
      <c r="U58" s="381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4"/>
      <c r="B59" s="400" t="s">
        <v>92</v>
      </c>
      <c r="C59" s="401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3"/>
      <c r="W59" s="403"/>
      <c r="X59" s="403"/>
      <c r="Y59" s="403"/>
      <c r="Z59" s="403"/>
      <c r="AA59" s="403"/>
      <c r="AB59" s="404"/>
      <c r="AC59" s="4"/>
      <c r="AD59" s="4"/>
    </row>
    <row r="60" spans="1:30" x14ac:dyDescent="0.25">
      <c r="A60" s="4"/>
      <c r="B60" s="504"/>
      <c r="M60"/>
      <c r="AB60" s="407"/>
      <c r="AC60" s="4"/>
      <c r="AD60" s="4"/>
    </row>
    <row r="61" spans="1:30" x14ac:dyDescent="0.25">
      <c r="A61" s="4"/>
      <c r="B61" s="408" t="s">
        <v>231</v>
      </c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09"/>
      <c r="AB61" s="407"/>
      <c r="AC61" s="4"/>
      <c r="AD61" s="4"/>
    </row>
    <row r="62" spans="1:30" x14ac:dyDescent="0.25">
      <c r="A62" s="4"/>
      <c r="B62" s="408"/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09"/>
      <c r="AB62" s="407"/>
      <c r="AC62" s="4"/>
      <c r="AD62" s="4"/>
    </row>
    <row r="63" spans="1:30" x14ac:dyDescent="0.25">
      <c r="A63" s="4"/>
      <c r="B63" s="408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AB63" s="407"/>
      <c r="AC63" s="4"/>
      <c r="AD63" s="4"/>
    </row>
    <row r="64" spans="1:30" x14ac:dyDescent="0.25">
      <c r="A64" s="4"/>
      <c r="B64" s="41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AB64" s="407"/>
      <c r="AC64" s="4"/>
      <c r="AD64" s="4"/>
    </row>
    <row r="65" spans="1:30" x14ac:dyDescent="0.25">
      <c r="A65" s="4"/>
      <c r="B65" s="41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AB65" s="407"/>
      <c r="AC65" s="4"/>
      <c r="AD65" s="4"/>
    </row>
    <row r="66" spans="1:30" x14ac:dyDescent="0.25">
      <c r="A66" s="4"/>
      <c r="B66" s="41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AB66" s="407"/>
      <c r="AC66" s="4"/>
      <c r="AD66" s="4"/>
    </row>
    <row r="67" spans="1:30" x14ac:dyDescent="0.25">
      <c r="A67" s="4"/>
      <c r="B67" s="41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AB67" s="407"/>
      <c r="AC67" s="4"/>
      <c r="AD67" s="4"/>
    </row>
    <row r="68" spans="1:30" x14ac:dyDescent="0.25">
      <c r="A68" s="4"/>
      <c r="B68" s="41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AB68" s="407"/>
      <c r="AC68" s="4"/>
      <c r="AD68" s="4"/>
    </row>
    <row r="69" spans="1:30" x14ac:dyDescent="0.25">
      <c r="A69" s="4"/>
      <c r="B69" s="41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AB69" s="407"/>
      <c r="AC69" s="4"/>
      <c r="AD69" s="4"/>
    </row>
    <row r="70" spans="1:30" x14ac:dyDescent="0.25">
      <c r="A70" s="4"/>
      <c r="B70" s="41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AB70" s="407"/>
      <c r="AC70" s="4"/>
      <c r="AD70" s="4"/>
    </row>
    <row r="71" spans="1:30" x14ac:dyDescent="0.25">
      <c r="A71" s="4"/>
      <c r="B71" s="41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AB71" s="407"/>
      <c r="AC71" s="4"/>
      <c r="AD71" s="4"/>
    </row>
    <row r="72" spans="1:30" x14ac:dyDescent="0.25">
      <c r="A72" s="4"/>
      <c r="B72" s="41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AB72" s="407"/>
      <c r="AC72" s="4"/>
      <c r="AD72" s="4"/>
    </row>
    <row r="73" spans="1:30" x14ac:dyDescent="0.25">
      <c r="A73" s="4"/>
      <c r="B73" s="41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AB73" s="407"/>
      <c r="AC73" s="4"/>
      <c r="AD73" s="4"/>
    </row>
    <row r="74" spans="1:30" x14ac:dyDescent="0.25">
      <c r="A74" s="4"/>
      <c r="B74" s="41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AB74" s="407"/>
      <c r="AC74" s="4"/>
      <c r="AD74" s="4"/>
    </row>
    <row r="75" spans="1:30" x14ac:dyDescent="0.25">
      <c r="A75" s="4"/>
      <c r="B75" s="41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AB75" s="407"/>
      <c r="AC75" s="4"/>
      <c r="AD75" s="4"/>
    </row>
    <row r="76" spans="1:30" x14ac:dyDescent="0.25">
      <c r="A76" s="4"/>
      <c r="B76" s="41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AB76" s="407"/>
      <c r="AC76" s="4"/>
      <c r="AD76" s="4"/>
    </row>
    <row r="77" spans="1:30" x14ac:dyDescent="0.25">
      <c r="A77" s="4"/>
      <c r="B77" s="41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AB77" s="407"/>
      <c r="AC77" s="4"/>
      <c r="AD77" s="4"/>
    </row>
    <row r="78" spans="1:30" x14ac:dyDescent="0.25">
      <c r="A78" s="4"/>
      <c r="B78" s="41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AB78" s="407"/>
      <c r="AC78" s="4"/>
      <c r="AD78" s="4"/>
    </row>
    <row r="79" spans="1:30" x14ac:dyDescent="0.25">
      <c r="A79" s="4"/>
      <c r="B79" s="41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AB79" s="407"/>
      <c r="AC79" s="4"/>
      <c r="AD79" s="4"/>
    </row>
    <row r="80" spans="1:30" x14ac:dyDescent="0.25">
      <c r="A80" s="4"/>
      <c r="B80" s="41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AB80" s="407"/>
      <c r="AC80" s="4"/>
      <c r="AD80" s="4"/>
    </row>
    <row r="81" spans="1:30" x14ac:dyDescent="0.25">
      <c r="A81" s="4"/>
      <c r="B81" s="41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AB81" s="407"/>
      <c r="AC81" s="4"/>
      <c r="AD81" s="4"/>
    </row>
    <row r="82" spans="1:30" x14ac:dyDescent="0.25">
      <c r="A82" s="4"/>
      <c r="B82" s="408"/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AB82" s="407"/>
      <c r="AC82" s="4"/>
      <c r="AD82" s="4"/>
    </row>
    <row r="83" spans="1:30" x14ac:dyDescent="0.25">
      <c r="A83" s="4"/>
      <c r="B83" s="411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AB83" s="407"/>
      <c r="AC83" s="4"/>
      <c r="AD83" s="4"/>
    </row>
    <row r="84" spans="1:30" x14ac:dyDescent="0.25">
      <c r="A84" s="4"/>
      <c r="B84" s="411"/>
      <c r="C84" s="412"/>
      <c r="D84" s="412"/>
      <c r="E84" s="412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AB84" s="407"/>
      <c r="AC84" s="4"/>
      <c r="AD84" s="4"/>
    </row>
    <row r="85" spans="1:30" x14ac:dyDescent="0.25">
      <c r="A85" s="4"/>
      <c r="B85" s="411"/>
      <c r="C85" s="413"/>
      <c r="D85" s="412"/>
      <c r="E85" s="412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AB85" s="407"/>
      <c r="AC85" s="4"/>
      <c r="AD85" s="4"/>
    </row>
    <row r="86" spans="1:30" x14ac:dyDescent="0.25">
      <c r="A86" s="4"/>
      <c r="B86" s="411"/>
      <c r="C86" s="413"/>
      <c r="D86" s="412"/>
      <c r="E86" s="412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AB86" s="407"/>
      <c r="AC86" s="4"/>
      <c r="AD86" s="4"/>
    </row>
    <row r="87" spans="1:30" x14ac:dyDescent="0.25">
      <c r="A87" s="4"/>
      <c r="B87" s="414"/>
      <c r="C87" s="415"/>
      <c r="D87" s="416"/>
      <c r="E87" s="416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06"/>
      <c r="W87" s="406"/>
      <c r="X87" s="406"/>
      <c r="Y87" s="406"/>
      <c r="Z87" s="406"/>
      <c r="AA87" s="406"/>
      <c r="AB87" s="418"/>
      <c r="AC87" s="4"/>
      <c r="AD87" s="4"/>
    </row>
    <row r="88" spans="1:30" x14ac:dyDescent="0.25">
      <c r="A88" s="4"/>
      <c r="B88" s="419"/>
      <c r="C88" s="420"/>
      <c r="D88" s="419"/>
      <c r="E88" s="419"/>
      <c r="F88" s="421"/>
      <c r="G88" s="421"/>
      <c r="H88" s="421"/>
      <c r="I88" s="421"/>
      <c r="J88" s="421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4"/>
      <c r="B89" s="419"/>
      <c r="C89" s="420"/>
      <c r="D89" s="419"/>
      <c r="E89" s="419"/>
      <c r="F89" s="421"/>
      <c r="G89" s="421"/>
      <c r="H89" s="421"/>
      <c r="I89" s="421"/>
      <c r="J89" s="421"/>
      <c r="K89" s="421"/>
      <c r="L89" s="421"/>
      <c r="M89" s="421"/>
      <c r="N89" s="421"/>
      <c r="O89" s="421"/>
      <c r="P89" s="421"/>
      <c r="Q89" s="421"/>
      <c r="R89" s="421"/>
      <c r="S89" s="421"/>
      <c r="T89" s="421"/>
      <c r="U89" s="421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4"/>
      <c r="B90" s="422"/>
      <c r="C90" s="422"/>
      <c r="D90" s="422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4"/>
      <c r="B91" s="422" t="s">
        <v>80</v>
      </c>
      <c r="C91" s="423">
        <v>45208</v>
      </c>
      <c r="D91" s="422" t="s">
        <v>76</v>
      </c>
      <c r="E91" s="409" t="s">
        <v>230</v>
      </c>
      <c r="F91" s="409"/>
      <c r="G91" s="409"/>
      <c r="H91" s="422"/>
      <c r="I91" s="422" t="s">
        <v>77</v>
      </c>
      <c r="J91" s="424" t="s">
        <v>229</v>
      </c>
      <c r="K91" s="424"/>
      <c r="L91" s="424"/>
      <c r="M91" s="424"/>
      <c r="N91" s="422"/>
      <c r="O91" s="422"/>
      <c r="P91" s="422"/>
      <c r="Q91" s="422"/>
      <c r="R91" s="422"/>
      <c r="S91" s="422"/>
      <c r="T91" s="422"/>
      <c r="U91" s="422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4"/>
      <c r="B92" s="422"/>
      <c r="C92" s="422"/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2"/>
      <c r="R92" s="422"/>
      <c r="S92" s="422"/>
      <c r="T92" s="422"/>
      <c r="U92" s="422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4"/>
      <c r="B93" s="422"/>
      <c r="C93" s="422"/>
      <c r="D93" s="422" t="s">
        <v>79</v>
      </c>
      <c r="E93" s="425"/>
      <c r="F93" s="425"/>
      <c r="G93" s="425"/>
      <c r="H93" s="422"/>
      <c r="I93" s="422" t="s">
        <v>79</v>
      </c>
      <c r="J93" s="426"/>
      <c r="K93" s="426"/>
      <c r="L93" s="426"/>
      <c r="M93" s="426"/>
      <c r="N93" s="422"/>
      <c r="O93" s="422"/>
      <c r="P93" s="422"/>
      <c r="Q93" s="422"/>
      <c r="R93" s="422"/>
      <c r="S93" s="422"/>
      <c r="T93" s="422"/>
      <c r="U93" s="422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4"/>
      <c r="B94" s="422"/>
      <c r="C94" s="422"/>
      <c r="D94" s="422"/>
      <c r="E94" s="425"/>
      <c r="F94" s="425"/>
      <c r="G94" s="425"/>
      <c r="H94" s="422"/>
      <c r="I94" s="422"/>
      <c r="J94" s="426"/>
      <c r="K94" s="426"/>
      <c r="L94" s="426"/>
      <c r="M94" s="426"/>
      <c r="N94" s="422"/>
      <c r="O94" s="422"/>
      <c r="P94" s="422"/>
      <c r="Q94" s="422"/>
      <c r="R94" s="422"/>
      <c r="S94" s="422"/>
      <c r="T94" s="422"/>
      <c r="U94" s="422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4"/>
      <c r="B95" s="422"/>
      <c r="C95" s="422"/>
      <c r="D95" s="422"/>
      <c r="E95" s="422"/>
      <c r="F95" s="422"/>
      <c r="G95" s="422"/>
      <c r="H95" s="422"/>
      <c r="I95" s="422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4"/>
      <c r="B96" s="422"/>
      <c r="C96" s="422"/>
      <c r="D96" s="422"/>
      <c r="E96" s="422"/>
      <c r="F96" s="422"/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"/>
      <c r="W96" s="4"/>
      <c r="X96" s="4"/>
      <c r="Y96" s="4"/>
      <c r="Z96" s="4"/>
      <c r="AA96" s="4"/>
      <c r="AB96" s="4"/>
      <c r="AC96" s="4"/>
      <c r="AD96" s="4"/>
    </row>
    <row r="113" ht="15" hidden="1" customHeight="1" x14ac:dyDescent="0.25"/>
    <row r="127" ht="15" hidden="1" customHeight="1" x14ac:dyDescent="0.25"/>
    <row r="128" ht="15" hidden="1" customHeight="1" x14ac:dyDescent="0.25"/>
  </sheetData>
  <mergeCells count="65">
    <mergeCell ref="B10:B13"/>
    <mergeCell ref="J10:O10"/>
    <mergeCell ref="J11:M11"/>
    <mergeCell ref="J12:O12"/>
    <mergeCell ref="J13:L13"/>
    <mergeCell ref="M13:M14"/>
    <mergeCell ref="N13:N14"/>
    <mergeCell ref="N26:N27"/>
    <mergeCell ref="O26:O27"/>
    <mergeCell ref="G13:G14"/>
    <mergeCell ref="H13:H14"/>
    <mergeCell ref="I13:I14"/>
    <mergeCell ref="D25:I25"/>
    <mergeCell ref="D26:F26"/>
    <mergeCell ref="G26:G27"/>
    <mergeCell ref="P12:U12"/>
    <mergeCell ref="P13:R13"/>
    <mergeCell ref="B62:U62"/>
    <mergeCell ref="D59:U59"/>
    <mergeCell ref="B61:U61"/>
    <mergeCell ref="B26:B27"/>
    <mergeCell ref="O13:O14"/>
    <mergeCell ref="J25:O25"/>
    <mergeCell ref="J26:L26"/>
    <mergeCell ref="M26:M27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P26:R26"/>
    <mergeCell ref="S26:S27"/>
    <mergeCell ref="T26:T27"/>
    <mergeCell ref="U26:U27"/>
    <mergeCell ref="E91:G91"/>
    <mergeCell ref="J91:M91"/>
    <mergeCell ref="B63:U63"/>
    <mergeCell ref="B82:U82"/>
    <mergeCell ref="H26:H27"/>
    <mergeCell ref="I26:I27"/>
    <mergeCell ref="V10:AA10"/>
    <mergeCell ref="V25:AA25"/>
    <mergeCell ref="Y13:Y14"/>
    <mergeCell ref="Z13:Z14"/>
    <mergeCell ref="S13:S14"/>
    <mergeCell ref="T13:T14"/>
    <mergeCell ref="U13:U14"/>
    <mergeCell ref="P25:U25"/>
    <mergeCell ref="P10:U10"/>
    <mergeCell ref="P11:S11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</mergeCells>
  <conditionalFormatting sqref="AB15:AB25">
    <cfRule type="cellIs" dxfId="51" priority="3" operator="equal">
      <formula>0</formula>
    </cfRule>
    <cfRule type="containsErrors" dxfId="50" priority="4">
      <formula>ISERROR(AB15)</formula>
    </cfRule>
  </conditionalFormatting>
  <conditionalFormatting sqref="AB28:AB41">
    <cfRule type="cellIs" dxfId="49" priority="1" operator="equal">
      <formula>0</formula>
    </cfRule>
    <cfRule type="containsErrors" dxfId="48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28"/>
  <sheetViews>
    <sheetView showGridLines="0" zoomScale="60" zoomScaleNormal="60" zoomScaleSheetLayoutView="80" workbookViewId="0">
      <selection activeCell="P91" sqref="P9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3.7109375" customWidth="1"/>
    <col min="5" max="5" width="14.28515625" customWidth="1"/>
    <col min="6" max="6" width="14.7109375" customWidth="1"/>
    <col min="7" max="7" width="21.28515625" bestFit="1" customWidth="1"/>
    <col min="8" max="8" width="12" customWidth="1"/>
    <col min="9" max="9" width="12.7109375" customWidth="1"/>
    <col min="10" max="10" width="13.7109375" customWidth="1"/>
    <col min="11" max="12" width="13.28515625" customWidth="1"/>
    <col min="13" max="13" width="17" style="427" customWidth="1"/>
    <col min="14" max="14" width="13.28515625" customWidth="1"/>
    <col min="15" max="15" width="11.28515625" customWidth="1"/>
    <col min="16" max="16" width="14.7109375" customWidth="1"/>
    <col min="17" max="17" width="14.5703125" customWidth="1"/>
    <col min="18" max="18" width="14" customWidth="1"/>
    <col min="19" max="19" width="18" customWidth="1"/>
    <col min="20" max="20" width="12.42578125" customWidth="1"/>
    <col min="21" max="21" width="10.7109375" bestFit="1" customWidth="1"/>
    <col min="22" max="22" width="14.28515625" customWidth="1"/>
    <col min="23" max="23" width="12.28515625" customWidth="1"/>
    <col min="24" max="24" width="12" customWidth="1"/>
    <col min="25" max="25" width="16.42578125" customWidth="1"/>
    <col min="26" max="26" width="10.8554687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23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4"/>
      <c r="B4" s="4" t="s">
        <v>43</v>
      </c>
      <c r="C4" s="4"/>
      <c r="D4" s="239" t="s">
        <v>256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3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4"/>
      <c r="B6" s="4" t="s">
        <v>44</v>
      </c>
      <c r="C6" s="4"/>
      <c r="D6" s="240">
        <v>46789731</v>
      </c>
      <c r="E6" s="4"/>
      <c r="F6" s="4"/>
      <c r="G6" s="4"/>
      <c r="H6" s="4"/>
      <c r="I6" s="4"/>
      <c r="J6" s="4"/>
      <c r="K6" s="4"/>
      <c r="L6" s="4"/>
      <c r="M6" s="23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23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4"/>
      <c r="B8" s="4" t="s">
        <v>45</v>
      </c>
      <c r="C8" s="4"/>
      <c r="D8" s="242" t="s">
        <v>257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4"/>
      <c r="B10" s="243" t="s">
        <v>37</v>
      </c>
      <c r="C10" s="244" t="s">
        <v>38</v>
      </c>
      <c r="D10" s="245" t="s">
        <v>100</v>
      </c>
      <c r="E10" s="246"/>
      <c r="F10" s="246"/>
      <c r="G10" s="246"/>
      <c r="H10" s="246"/>
      <c r="I10" s="247"/>
      <c r="J10" s="245" t="s">
        <v>101</v>
      </c>
      <c r="K10" s="246"/>
      <c r="L10" s="246"/>
      <c r="M10" s="246"/>
      <c r="N10" s="246"/>
      <c r="O10" s="247"/>
      <c r="P10" s="245" t="s">
        <v>102</v>
      </c>
      <c r="Q10" s="246"/>
      <c r="R10" s="246"/>
      <c r="S10" s="246"/>
      <c r="T10" s="246"/>
      <c r="U10" s="247"/>
      <c r="V10" s="245" t="s">
        <v>103</v>
      </c>
      <c r="W10" s="246"/>
      <c r="X10" s="246"/>
      <c r="Y10" s="246"/>
      <c r="Z10" s="246"/>
      <c r="AA10" s="247"/>
      <c r="AB10" s="248" t="s">
        <v>99</v>
      </c>
      <c r="AC10" s="4"/>
      <c r="AD10" s="4"/>
    </row>
    <row r="11" spans="1:30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254" t="s">
        <v>40</v>
      </c>
      <c r="I11" s="254" t="s">
        <v>61</v>
      </c>
      <c r="J11" s="251" t="s">
        <v>39</v>
      </c>
      <c r="K11" s="252"/>
      <c r="L11" s="252"/>
      <c r="M11" s="253"/>
      <c r="N11" s="254" t="s">
        <v>40</v>
      </c>
      <c r="O11" s="254" t="s">
        <v>61</v>
      </c>
      <c r="P11" s="251" t="s">
        <v>39</v>
      </c>
      <c r="Q11" s="252"/>
      <c r="R11" s="252"/>
      <c r="S11" s="253"/>
      <c r="T11" s="254" t="s">
        <v>40</v>
      </c>
      <c r="U11" s="254" t="s">
        <v>61</v>
      </c>
      <c r="V11" s="251" t="s">
        <v>39</v>
      </c>
      <c r="W11" s="252"/>
      <c r="X11" s="252"/>
      <c r="Y11" s="253"/>
      <c r="Z11" s="254" t="s">
        <v>40</v>
      </c>
      <c r="AA11" s="254" t="s">
        <v>61</v>
      </c>
      <c r="AB11" s="255"/>
      <c r="AC11" s="4"/>
      <c r="AD11" s="4"/>
    </row>
    <row r="12" spans="1:30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9"/>
      <c r="J12" s="257" t="s">
        <v>62</v>
      </c>
      <c r="K12" s="258"/>
      <c r="L12" s="258"/>
      <c r="M12" s="258"/>
      <c r="N12" s="258"/>
      <c r="O12" s="259"/>
      <c r="P12" s="257" t="s">
        <v>62</v>
      </c>
      <c r="Q12" s="258"/>
      <c r="R12" s="258"/>
      <c r="S12" s="258"/>
      <c r="T12" s="258"/>
      <c r="U12" s="259"/>
      <c r="V12" s="257" t="s">
        <v>62</v>
      </c>
      <c r="W12" s="258"/>
      <c r="X12" s="258"/>
      <c r="Y12" s="258"/>
      <c r="Z12" s="258"/>
      <c r="AA12" s="259"/>
      <c r="AB12" s="255"/>
      <c r="AC12" s="4"/>
      <c r="AD12" s="4"/>
    </row>
    <row r="13" spans="1:30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264" t="s">
        <v>63</v>
      </c>
      <c r="H13" s="265" t="s">
        <v>66</v>
      </c>
      <c r="I13" s="266" t="s">
        <v>62</v>
      </c>
      <c r="J13" s="262" t="s">
        <v>57</v>
      </c>
      <c r="K13" s="263"/>
      <c r="L13" s="263"/>
      <c r="M13" s="264" t="s">
        <v>63</v>
      </c>
      <c r="N13" s="265" t="s">
        <v>66</v>
      </c>
      <c r="O13" s="266" t="s">
        <v>62</v>
      </c>
      <c r="P13" s="262" t="s">
        <v>57</v>
      </c>
      <c r="Q13" s="263"/>
      <c r="R13" s="263"/>
      <c r="S13" s="264" t="s">
        <v>63</v>
      </c>
      <c r="T13" s="265" t="s">
        <v>66</v>
      </c>
      <c r="U13" s="266" t="s">
        <v>62</v>
      </c>
      <c r="V13" s="262" t="s">
        <v>57</v>
      </c>
      <c r="W13" s="263"/>
      <c r="X13" s="263"/>
      <c r="Y13" s="264" t="s">
        <v>63</v>
      </c>
      <c r="Z13" s="265" t="s">
        <v>66</v>
      </c>
      <c r="AA13" s="266" t="s">
        <v>62</v>
      </c>
      <c r="AB13" s="255"/>
      <c r="AC13" s="4"/>
      <c r="AD13" s="4"/>
    </row>
    <row r="14" spans="1:30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271"/>
      <c r="H14" s="272"/>
      <c r="I14" s="273"/>
      <c r="J14" s="269" t="s">
        <v>58</v>
      </c>
      <c r="K14" s="270" t="s">
        <v>90</v>
      </c>
      <c r="L14" s="270" t="s">
        <v>59</v>
      </c>
      <c r="M14" s="271"/>
      <c r="N14" s="272"/>
      <c r="O14" s="273"/>
      <c r="P14" s="269" t="s">
        <v>58</v>
      </c>
      <c r="Q14" s="270" t="s">
        <v>90</v>
      </c>
      <c r="R14" s="270" t="s">
        <v>59</v>
      </c>
      <c r="S14" s="271"/>
      <c r="T14" s="272"/>
      <c r="U14" s="273"/>
      <c r="V14" s="269" t="s">
        <v>58</v>
      </c>
      <c r="W14" s="270" t="s">
        <v>90</v>
      </c>
      <c r="X14" s="270" t="s">
        <v>59</v>
      </c>
      <c r="Y14" s="271"/>
      <c r="Z14" s="272"/>
      <c r="AA14" s="273"/>
      <c r="AB14" s="274"/>
      <c r="AC14" s="4"/>
      <c r="AD14" s="4"/>
    </row>
    <row r="15" spans="1:30" x14ac:dyDescent="0.25">
      <c r="A15" s="4"/>
      <c r="B15" s="275" t="s">
        <v>0</v>
      </c>
      <c r="C15" s="276" t="s">
        <v>52</v>
      </c>
      <c r="D15" s="277"/>
      <c r="E15" s="278"/>
      <c r="F15" s="279">
        <v>1791.501</v>
      </c>
      <c r="G15" s="280">
        <f>SUM(D15:F15)</f>
        <v>1791.501</v>
      </c>
      <c r="H15" s="281">
        <v>0</v>
      </c>
      <c r="I15" s="282">
        <f>G15+H15</f>
        <v>1791.501</v>
      </c>
      <c r="J15" s="892"/>
      <c r="K15" s="893"/>
      <c r="L15" s="894">
        <v>2200</v>
      </c>
      <c r="M15" s="280">
        <f t="shared" ref="M15:M23" si="0">SUM(J15:L15)</f>
        <v>2200</v>
      </c>
      <c r="N15" s="895">
        <v>0</v>
      </c>
      <c r="O15" s="282">
        <f>M15+N15</f>
        <v>2200</v>
      </c>
      <c r="P15" s="277"/>
      <c r="Q15" s="278"/>
      <c r="R15" s="279">
        <v>1185.663</v>
      </c>
      <c r="S15" s="280">
        <f>SUM(P15:R15)</f>
        <v>1185.663</v>
      </c>
      <c r="T15" s="281">
        <v>0</v>
      </c>
      <c r="U15" s="282">
        <f>S15+T15</f>
        <v>1185.663</v>
      </c>
      <c r="V15" s="277"/>
      <c r="W15" s="278"/>
      <c r="X15" s="279">
        <v>2400</v>
      </c>
      <c r="Y15" s="280">
        <f>SUM(V15:X15)</f>
        <v>2400</v>
      </c>
      <c r="Z15" s="281">
        <v>0</v>
      </c>
      <c r="AA15" s="282">
        <f>Y15+Z15</f>
        <v>2400</v>
      </c>
      <c r="AB15" s="283">
        <f>(AA15/O15)</f>
        <v>1.0909090909090908</v>
      </c>
      <c r="AC15" s="4"/>
      <c r="AD15" s="4"/>
    </row>
    <row r="16" spans="1:30" x14ac:dyDescent="0.25">
      <c r="A16" s="4"/>
      <c r="B16" s="284" t="s">
        <v>1</v>
      </c>
      <c r="C16" s="285" t="s">
        <v>60</v>
      </c>
      <c r="D16" s="286">
        <v>5668.6</v>
      </c>
      <c r="E16" s="287"/>
      <c r="F16" s="287"/>
      <c r="G16" s="288">
        <f t="shared" ref="G16:G23" si="1">SUM(D16:F16)</f>
        <v>5668.6</v>
      </c>
      <c r="H16" s="289"/>
      <c r="I16" s="282">
        <f t="shared" ref="I16:I23" si="2">G16+H16</f>
        <v>5668.6</v>
      </c>
      <c r="J16" s="896">
        <v>6620</v>
      </c>
      <c r="K16" s="897"/>
      <c r="L16" s="897"/>
      <c r="M16" s="288">
        <f t="shared" si="0"/>
        <v>6620</v>
      </c>
      <c r="N16" s="895"/>
      <c r="O16" s="282">
        <f t="shared" ref="O16:O20" si="3">M16+N16</f>
        <v>6620</v>
      </c>
      <c r="P16" s="286">
        <v>3560.2</v>
      </c>
      <c r="Q16" s="287"/>
      <c r="R16" s="287"/>
      <c r="S16" s="288">
        <f t="shared" ref="S16:S23" si="4">SUM(P16:R16)</f>
        <v>3560.2</v>
      </c>
      <c r="T16" s="289"/>
      <c r="U16" s="282">
        <f t="shared" ref="U16:U20" si="5">S16+T16</f>
        <v>3560.2</v>
      </c>
      <c r="V16" s="286">
        <v>6770</v>
      </c>
      <c r="W16" s="287"/>
      <c r="X16" s="287"/>
      <c r="Y16" s="288">
        <f t="shared" ref="Y16:Y23" si="6">SUM(V16:X16)</f>
        <v>6770</v>
      </c>
      <c r="Z16" s="289"/>
      <c r="AA16" s="282">
        <f t="shared" ref="AA16:AA20" si="7">Y16+Z16</f>
        <v>6770</v>
      </c>
      <c r="AB16" s="283">
        <f t="shared" ref="AB16:AB24" si="8">(AA16/O16)</f>
        <v>1.0226586102719033</v>
      </c>
      <c r="AC16" s="4"/>
      <c r="AD16" s="4"/>
    </row>
    <row r="17" spans="1:30" x14ac:dyDescent="0.25">
      <c r="A17" s="4"/>
      <c r="B17" s="284" t="s">
        <v>3</v>
      </c>
      <c r="C17" s="290" t="s">
        <v>78</v>
      </c>
      <c r="D17" s="58">
        <v>337.9</v>
      </c>
      <c r="E17" s="291"/>
      <c r="F17" s="291"/>
      <c r="G17" s="288">
        <f t="shared" si="1"/>
        <v>337.9</v>
      </c>
      <c r="H17" s="292"/>
      <c r="I17" s="282">
        <f t="shared" si="2"/>
        <v>337.9</v>
      </c>
      <c r="J17" s="898">
        <v>269.8</v>
      </c>
      <c r="K17" s="899"/>
      <c r="L17" s="899"/>
      <c r="M17" s="288">
        <f t="shared" si="0"/>
        <v>269.8</v>
      </c>
      <c r="N17" s="900"/>
      <c r="O17" s="282">
        <f t="shared" si="3"/>
        <v>269.8</v>
      </c>
      <c r="P17" s="58">
        <v>194.54599999999999</v>
      </c>
      <c r="Q17" s="291"/>
      <c r="R17" s="291"/>
      <c r="S17" s="288">
        <f t="shared" si="4"/>
        <v>194.54599999999999</v>
      </c>
      <c r="T17" s="292"/>
      <c r="U17" s="282">
        <f t="shared" si="5"/>
        <v>194.54599999999999</v>
      </c>
      <c r="V17" s="58">
        <v>244.6</v>
      </c>
      <c r="W17" s="291"/>
      <c r="X17" s="291"/>
      <c r="Y17" s="288">
        <f t="shared" si="6"/>
        <v>244.6</v>
      </c>
      <c r="Z17" s="292"/>
      <c r="AA17" s="282">
        <f t="shared" si="7"/>
        <v>244.6</v>
      </c>
      <c r="AB17" s="283">
        <f t="shared" si="8"/>
        <v>0.90659747961452919</v>
      </c>
      <c r="AC17" s="4"/>
      <c r="AD17" s="4"/>
    </row>
    <row r="18" spans="1:30" x14ac:dyDescent="0.25">
      <c r="A18" s="4"/>
      <c r="B18" s="284" t="s">
        <v>5</v>
      </c>
      <c r="C18" s="293" t="s">
        <v>53</v>
      </c>
      <c r="D18" s="294"/>
      <c r="E18" s="60">
        <v>48764.74</v>
      </c>
      <c r="F18" s="291"/>
      <c r="G18" s="288">
        <f t="shared" si="1"/>
        <v>48764.74</v>
      </c>
      <c r="H18" s="281"/>
      <c r="I18" s="282">
        <f t="shared" si="2"/>
        <v>48764.74</v>
      </c>
      <c r="J18" s="901"/>
      <c r="K18" s="611">
        <v>44888.675000000003</v>
      </c>
      <c r="L18" s="899"/>
      <c r="M18" s="288">
        <f t="shared" si="0"/>
        <v>44888.675000000003</v>
      </c>
      <c r="N18" s="895"/>
      <c r="O18" s="282">
        <f t="shared" si="3"/>
        <v>44888.675000000003</v>
      </c>
      <c r="P18" s="294"/>
      <c r="Q18" s="60">
        <v>23397.198</v>
      </c>
      <c r="R18" s="291"/>
      <c r="S18" s="288">
        <f t="shared" si="4"/>
        <v>23397.198</v>
      </c>
      <c r="T18" s="281"/>
      <c r="U18" s="282">
        <f t="shared" si="5"/>
        <v>23397.198</v>
      </c>
      <c r="V18" s="294"/>
      <c r="W18" s="60">
        <v>52020</v>
      </c>
      <c r="X18" s="291"/>
      <c r="Y18" s="288">
        <f t="shared" si="6"/>
        <v>52020</v>
      </c>
      <c r="Z18" s="281"/>
      <c r="AA18" s="282">
        <f t="shared" si="7"/>
        <v>52020</v>
      </c>
      <c r="AB18" s="283">
        <f t="shared" si="8"/>
        <v>1.1588669079673213</v>
      </c>
      <c r="AC18" s="4"/>
      <c r="AD18" s="4"/>
    </row>
    <row r="19" spans="1:30" x14ac:dyDescent="0.25">
      <c r="A19" s="4"/>
      <c r="B19" s="284" t="s">
        <v>7</v>
      </c>
      <c r="C19" s="295" t="s">
        <v>46</v>
      </c>
      <c r="D19" s="296"/>
      <c r="E19" s="291"/>
      <c r="F19" s="60">
        <v>1446.8710000000001</v>
      </c>
      <c r="G19" s="288">
        <f t="shared" si="1"/>
        <v>1446.8710000000001</v>
      </c>
      <c r="H19" s="281"/>
      <c r="I19" s="282">
        <f t="shared" si="2"/>
        <v>1446.8710000000001</v>
      </c>
      <c r="J19" s="902"/>
      <c r="K19" s="899"/>
      <c r="L19" s="611">
        <v>1446.88</v>
      </c>
      <c r="M19" s="288">
        <f t="shared" si="0"/>
        <v>1446.88</v>
      </c>
      <c r="N19" s="895"/>
      <c r="O19" s="282">
        <f t="shared" si="3"/>
        <v>1446.88</v>
      </c>
      <c r="P19" s="296"/>
      <c r="Q19" s="291"/>
      <c r="R19" s="60">
        <v>723.43399999999997</v>
      </c>
      <c r="S19" s="288">
        <f t="shared" si="4"/>
        <v>723.43399999999997</v>
      </c>
      <c r="T19" s="281"/>
      <c r="U19" s="282">
        <f t="shared" si="5"/>
        <v>723.43399999999997</v>
      </c>
      <c r="V19" s="296"/>
      <c r="W19" s="291"/>
      <c r="X19" s="60">
        <v>1446.8689999999999</v>
      </c>
      <c r="Y19" s="288">
        <f t="shared" si="6"/>
        <v>1446.8689999999999</v>
      </c>
      <c r="Z19" s="281"/>
      <c r="AA19" s="282">
        <f t="shared" si="7"/>
        <v>1446.8689999999999</v>
      </c>
      <c r="AB19" s="283">
        <f t="shared" si="8"/>
        <v>0.99999239743447954</v>
      </c>
      <c r="AC19" s="4"/>
      <c r="AD19" s="4"/>
    </row>
    <row r="20" spans="1:30" x14ac:dyDescent="0.25">
      <c r="A20" s="4"/>
      <c r="B20" s="284" t="s">
        <v>9</v>
      </c>
      <c r="C20" s="297" t="s">
        <v>47</v>
      </c>
      <c r="D20" s="294"/>
      <c r="E20" s="287"/>
      <c r="F20" s="298">
        <v>157.21</v>
      </c>
      <c r="G20" s="288">
        <f t="shared" si="1"/>
        <v>157.21</v>
      </c>
      <c r="H20" s="281"/>
      <c r="I20" s="282">
        <f t="shared" si="2"/>
        <v>157.21</v>
      </c>
      <c r="J20" s="901"/>
      <c r="K20" s="897"/>
      <c r="L20" s="903">
        <v>170</v>
      </c>
      <c r="M20" s="288">
        <f t="shared" si="0"/>
        <v>170</v>
      </c>
      <c r="N20" s="895"/>
      <c r="O20" s="282">
        <f t="shared" si="3"/>
        <v>170</v>
      </c>
      <c r="P20" s="294"/>
      <c r="Q20" s="287"/>
      <c r="R20" s="298">
        <v>46.517000000000003</v>
      </c>
      <c r="S20" s="288">
        <f t="shared" si="4"/>
        <v>46.517000000000003</v>
      </c>
      <c r="T20" s="281"/>
      <c r="U20" s="282">
        <f t="shared" si="5"/>
        <v>46.517000000000003</v>
      </c>
      <c r="V20" s="294"/>
      <c r="W20" s="287"/>
      <c r="X20" s="298">
        <v>30</v>
      </c>
      <c r="Y20" s="288">
        <f t="shared" si="6"/>
        <v>30</v>
      </c>
      <c r="Z20" s="281"/>
      <c r="AA20" s="282">
        <f t="shared" si="7"/>
        <v>30</v>
      </c>
      <c r="AB20" s="283">
        <f t="shared" si="8"/>
        <v>0.17647058823529413</v>
      </c>
      <c r="AC20" s="4"/>
      <c r="AD20" s="4"/>
    </row>
    <row r="21" spans="1:30" x14ac:dyDescent="0.25">
      <c r="A21" s="4"/>
      <c r="B21" s="284" t="s">
        <v>11</v>
      </c>
      <c r="C21" s="299" t="s">
        <v>2</v>
      </c>
      <c r="D21" s="294"/>
      <c r="E21" s="287"/>
      <c r="F21" s="298">
        <v>490.06099999999998</v>
      </c>
      <c r="G21" s="288">
        <f t="shared" si="1"/>
        <v>490.06099999999998</v>
      </c>
      <c r="H21" s="300">
        <v>370.887</v>
      </c>
      <c r="I21" s="282">
        <f>G21+H21</f>
        <v>860.94799999999998</v>
      </c>
      <c r="J21" s="901"/>
      <c r="K21" s="897"/>
      <c r="L21" s="903"/>
      <c r="M21" s="288">
        <f t="shared" si="0"/>
        <v>0</v>
      </c>
      <c r="N21" s="900">
        <v>200</v>
      </c>
      <c r="O21" s="282">
        <f>M21+N21</f>
        <v>200</v>
      </c>
      <c r="P21" s="294"/>
      <c r="Q21" s="287"/>
      <c r="R21" s="298">
        <v>123.97</v>
      </c>
      <c r="S21" s="288">
        <f t="shared" si="4"/>
        <v>123.97</v>
      </c>
      <c r="T21" s="300">
        <v>70.67</v>
      </c>
      <c r="U21" s="282">
        <f>S21+T21</f>
        <v>194.64</v>
      </c>
      <c r="V21" s="294"/>
      <c r="W21" s="287"/>
      <c r="X21" s="298">
        <v>131</v>
      </c>
      <c r="Y21" s="288">
        <f t="shared" si="6"/>
        <v>131</v>
      </c>
      <c r="Z21" s="300">
        <v>150</v>
      </c>
      <c r="AA21" s="282">
        <f>Y21+Z21</f>
        <v>281</v>
      </c>
      <c r="AB21" s="283">
        <f t="shared" si="8"/>
        <v>1.405</v>
      </c>
      <c r="AC21" s="4"/>
      <c r="AD21" s="4"/>
    </row>
    <row r="22" spans="1:30" x14ac:dyDescent="0.25">
      <c r="A22" s="4"/>
      <c r="B22" s="284" t="s">
        <v>13</v>
      </c>
      <c r="C22" s="299" t="s">
        <v>4</v>
      </c>
      <c r="D22" s="294"/>
      <c r="E22" s="287"/>
      <c r="F22" s="298"/>
      <c r="G22" s="288">
        <f t="shared" si="1"/>
        <v>0</v>
      </c>
      <c r="H22" s="300">
        <v>370.887</v>
      </c>
      <c r="I22" s="282">
        <f t="shared" si="2"/>
        <v>370.887</v>
      </c>
      <c r="J22" s="901"/>
      <c r="K22" s="897"/>
      <c r="L22" s="903"/>
      <c r="M22" s="288">
        <f t="shared" si="0"/>
        <v>0</v>
      </c>
      <c r="N22" s="900">
        <v>200</v>
      </c>
      <c r="O22" s="282">
        <f t="shared" ref="O22:O23" si="9">M22+N22</f>
        <v>200</v>
      </c>
      <c r="P22" s="294"/>
      <c r="Q22" s="287"/>
      <c r="R22" s="298"/>
      <c r="S22" s="288">
        <f t="shared" si="4"/>
        <v>0</v>
      </c>
      <c r="T22" s="300">
        <v>70.67</v>
      </c>
      <c r="U22" s="282">
        <f t="shared" ref="U22:U23" si="10">S22+T22</f>
        <v>70.67</v>
      </c>
      <c r="V22" s="294"/>
      <c r="W22" s="287"/>
      <c r="X22" s="298"/>
      <c r="Y22" s="288">
        <f t="shared" si="6"/>
        <v>0</v>
      </c>
      <c r="Z22" s="300">
        <v>150</v>
      </c>
      <c r="AA22" s="282">
        <f t="shared" ref="AA22:AA23" si="11">Y22+Z22</f>
        <v>150</v>
      </c>
      <c r="AB22" s="283">
        <f t="shared" si="8"/>
        <v>0.75</v>
      </c>
      <c r="AC22" s="4"/>
      <c r="AD22" s="4"/>
    </row>
    <row r="23" spans="1:30" ht="15.75" thickBot="1" x14ac:dyDescent="0.3">
      <c r="A23" s="4"/>
      <c r="B23" s="301" t="s">
        <v>15</v>
      </c>
      <c r="C23" s="302" t="s">
        <v>6</v>
      </c>
      <c r="D23" s="303"/>
      <c r="E23" s="304"/>
      <c r="F23" s="305"/>
      <c r="G23" s="306">
        <f t="shared" si="1"/>
        <v>0</v>
      </c>
      <c r="H23" s="307"/>
      <c r="I23" s="308">
        <f t="shared" si="2"/>
        <v>0</v>
      </c>
      <c r="J23" s="904"/>
      <c r="K23" s="905"/>
      <c r="L23" s="906"/>
      <c r="M23" s="306">
        <f t="shared" si="0"/>
        <v>0</v>
      </c>
      <c r="N23" s="907"/>
      <c r="O23" s="308">
        <f t="shared" si="9"/>
        <v>0</v>
      </c>
      <c r="P23" s="303"/>
      <c r="Q23" s="304"/>
      <c r="R23" s="305"/>
      <c r="S23" s="306">
        <f t="shared" si="4"/>
        <v>0</v>
      </c>
      <c r="T23" s="307"/>
      <c r="U23" s="308">
        <f t="shared" si="10"/>
        <v>0</v>
      </c>
      <c r="V23" s="303"/>
      <c r="W23" s="304"/>
      <c r="X23" s="305"/>
      <c r="Y23" s="306">
        <f t="shared" si="6"/>
        <v>0</v>
      </c>
      <c r="Z23" s="307"/>
      <c r="AA23" s="308">
        <f t="shared" si="11"/>
        <v>0</v>
      </c>
      <c r="AB23" s="309" t="e">
        <f t="shared" si="8"/>
        <v>#DIV/0!</v>
      </c>
      <c r="AC23" s="4"/>
      <c r="AD23" s="4"/>
    </row>
    <row r="24" spans="1:30" ht="15.75" thickBot="1" x14ac:dyDescent="0.3">
      <c r="A24" s="4"/>
      <c r="B24" s="310" t="s">
        <v>17</v>
      </c>
      <c r="C24" s="311" t="s">
        <v>8</v>
      </c>
      <c r="D24" s="312">
        <f>SUM(D15:D21)</f>
        <v>6006.5</v>
      </c>
      <c r="E24" s="313">
        <f>SUM(E15:E21)</f>
        <v>48764.74</v>
      </c>
      <c r="F24" s="313">
        <f>SUM(F15:F21)</f>
        <v>3885.6430000000005</v>
      </c>
      <c r="G24" s="314">
        <f>SUM(D24:F24)</f>
        <v>58656.883000000002</v>
      </c>
      <c r="H24" s="315">
        <f>SUM(H15:H21)</f>
        <v>370.887</v>
      </c>
      <c r="I24" s="315">
        <f>SUM(I15:I21)</f>
        <v>59027.76999999999</v>
      </c>
      <c r="J24" s="312">
        <f>SUM(J15:J21)</f>
        <v>6889.8</v>
      </c>
      <c r="K24" s="313">
        <f>SUM(K15:K21)</f>
        <v>44888.675000000003</v>
      </c>
      <c r="L24" s="313">
        <f>SUM(L15:L21)</f>
        <v>3816.88</v>
      </c>
      <c r="M24" s="314">
        <f>SUM(J24:L24)</f>
        <v>55595.355000000003</v>
      </c>
      <c r="N24" s="315">
        <f>SUM(N15:N21)</f>
        <v>200</v>
      </c>
      <c r="O24" s="315">
        <f>SUM(O15:O21)</f>
        <v>55795.355000000003</v>
      </c>
      <c r="P24" s="312">
        <f>SUM(P15:P21)</f>
        <v>3754.7459999999996</v>
      </c>
      <c r="Q24" s="313">
        <f>SUM(Q15:Q21)</f>
        <v>23397.198</v>
      </c>
      <c r="R24" s="313">
        <f>SUM(R15:R21)</f>
        <v>2079.5839999999998</v>
      </c>
      <c r="S24" s="314">
        <f>SUM(P24:R24)</f>
        <v>29231.527999999998</v>
      </c>
      <c r="T24" s="315">
        <f>SUM(T15:T21)</f>
        <v>70.67</v>
      </c>
      <c r="U24" s="315">
        <f>SUM(U15:U21)</f>
        <v>29302.198</v>
      </c>
      <c r="V24" s="312">
        <f>SUM(V15:V21)</f>
        <v>7014.6</v>
      </c>
      <c r="W24" s="313">
        <f>SUM(W15:W21)</f>
        <v>52020</v>
      </c>
      <c r="X24" s="313">
        <f>SUM(X15:X21)</f>
        <v>4007.8689999999997</v>
      </c>
      <c r="Y24" s="314">
        <f>SUM(V24:X24)</f>
        <v>63042.468999999997</v>
      </c>
      <c r="Z24" s="315">
        <f>SUM(Z15:Z21)</f>
        <v>150</v>
      </c>
      <c r="AA24" s="315">
        <f>SUM(AA15:AA21)</f>
        <v>63192.468999999997</v>
      </c>
      <c r="AB24" s="316">
        <f t="shared" si="8"/>
        <v>1.1325758031291313</v>
      </c>
      <c r="AC24" s="4"/>
      <c r="AD24" s="4"/>
    </row>
    <row r="25" spans="1:30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2"/>
      <c r="J25" s="319" t="s">
        <v>68</v>
      </c>
      <c r="K25" s="320"/>
      <c r="L25" s="320"/>
      <c r="M25" s="321"/>
      <c r="N25" s="321"/>
      <c r="O25" s="322"/>
      <c r="P25" s="319" t="s">
        <v>68</v>
      </c>
      <c r="Q25" s="320"/>
      <c r="R25" s="320"/>
      <c r="S25" s="321"/>
      <c r="T25" s="321"/>
      <c r="U25" s="322"/>
      <c r="V25" s="319" t="s">
        <v>68</v>
      </c>
      <c r="W25" s="320"/>
      <c r="X25" s="320"/>
      <c r="Y25" s="321"/>
      <c r="Z25" s="321"/>
      <c r="AA25" s="322"/>
      <c r="AB25" s="323" t="s">
        <v>99</v>
      </c>
      <c r="AC25" s="4"/>
      <c r="AD25" s="4"/>
    </row>
    <row r="26" spans="1:30" ht="15.75" thickBot="1" x14ac:dyDescent="0.3">
      <c r="A26" s="4"/>
      <c r="B26" s="324" t="s">
        <v>37</v>
      </c>
      <c r="C26" s="244" t="s">
        <v>38</v>
      </c>
      <c r="D26" s="325" t="s">
        <v>69</v>
      </c>
      <c r="E26" s="326"/>
      <c r="F26" s="326"/>
      <c r="G26" s="264" t="s">
        <v>64</v>
      </c>
      <c r="H26" s="327" t="s">
        <v>67</v>
      </c>
      <c r="I26" s="328" t="s">
        <v>68</v>
      </c>
      <c r="J26" s="325" t="s">
        <v>69</v>
      </c>
      <c r="K26" s="326"/>
      <c r="L26" s="326"/>
      <c r="M26" s="264" t="s">
        <v>64</v>
      </c>
      <c r="N26" s="327" t="s">
        <v>67</v>
      </c>
      <c r="O26" s="328" t="s">
        <v>68</v>
      </c>
      <c r="P26" s="325" t="s">
        <v>69</v>
      </c>
      <c r="Q26" s="326"/>
      <c r="R26" s="326"/>
      <c r="S26" s="264" t="s">
        <v>64</v>
      </c>
      <c r="T26" s="327" t="s">
        <v>67</v>
      </c>
      <c r="U26" s="328" t="s">
        <v>68</v>
      </c>
      <c r="V26" s="325" t="s">
        <v>69</v>
      </c>
      <c r="W26" s="326"/>
      <c r="X26" s="326"/>
      <c r="Y26" s="264" t="s">
        <v>64</v>
      </c>
      <c r="Z26" s="327" t="s">
        <v>67</v>
      </c>
      <c r="AA26" s="328" t="s">
        <v>68</v>
      </c>
      <c r="AB26" s="329"/>
      <c r="AC26" s="4"/>
      <c r="AD26" s="4"/>
    </row>
    <row r="27" spans="1:30" ht="15.75" thickBot="1" x14ac:dyDescent="0.3">
      <c r="A27" s="4"/>
      <c r="B27" s="330"/>
      <c r="C27" s="250"/>
      <c r="D27" s="331" t="s">
        <v>54</v>
      </c>
      <c r="E27" s="332" t="s">
        <v>55</v>
      </c>
      <c r="F27" s="333" t="s">
        <v>56</v>
      </c>
      <c r="G27" s="271"/>
      <c r="H27" s="334"/>
      <c r="I27" s="335"/>
      <c r="J27" s="331" t="s">
        <v>54</v>
      </c>
      <c r="K27" s="332" t="s">
        <v>55</v>
      </c>
      <c r="L27" s="333" t="s">
        <v>56</v>
      </c>
      <c r="M27" s="271"/>
      <c r="N27" s="334"/>
      <c r="O27" s="335"/>
      <c r="P27" s="331" t="s">
        <v>54</v>
      </c>
      <c r="Q27" s="332" t="s">
        <v>55</v>
      </c>
      <c r="R27" s="333" t="s">
        <v>56</v>
      </c>
      <c r="S27" s="271"/>
      <c r="T27" s="334"/>
      <c r="U27" s="335"/>
      <c r="V27" s="331" t="s">
        <v>54</v>
      </c>
      <c r="W27" s="332" t="s">
        <v>55</v>
      </c>
      <c r="X27" s="333" t="s">
        <v>56</v>
      </c>
      <c r="Y27" s="271"/>
      <c r="Z27" s="334"/>
      <c r="AA27" s="335"/>
      <c r="AB27" s="336"/>
      <c r="AC27" s="4"/>
      <c r="AD27" s="4"/>
    </row>
    <row r="28" spans="1:30" x14ac:dyDescent="0.25">
      <c r="A28" s="4"/>
      <c r="B28" s="275" t="s">
        <v>19</v>
      </c>
      <c r="C28" s="276" t="s">
        <v>10</v>
      </c>
      <c r="D28" s="337">
        <v>282.43599999999998</v>
      </c>
      <c r="E28" s="337"/>
      <c r="F28" s="337"/>
      <c r="G28" s="338">
        <f>SUM(D28:F28)</f>
        <v>282.43599999999998</v>
      </c>
      <c r="H28" s="338"/>
      <c r="I28" s="339">
        <f>G28+H28</f>
        <v>282.43599999999998</v>
      </c>
      <c r="J28" s="908">
        <v>200</v>
      </c>
      <c r="K28" s="909"/>
      <c r="L28" s="909"/>
      <c r="M28" s="338">
        <f>SUM(J28:L28)</f>
        <v>200</v>
      </c>
      <c r="N28" s="910"/>
      <c r="O28" s="339">
        <f>M28+N28</f>
        <v>200</v>
      </c>
      <c r="P28" s="340">
        <v>92.57</v>
      </c>
      <c r="Q28" s="337"/>
      <c r="R28" s="337"/>
      <c r="S28" s="338">
        <f>SUM(P28:R28)</f>
        <v>92.57</v>
      </c>
      <c r="T28" s="338"/>
      <c r="U28" s="339">
        <f>S28+T28</f>
        <v>92.57</v>
      </c>
      <c r="V28" s="340">
        <v>130</v>
      </c>
      <c r="W28" s="337"/>
      <c r="X28" s="337"/>
      <c r="Y28" s="338">
        <f>SUM(V28:X28)</f>
        <v>130</v>
      </c>
      <c r="Z28" s="338"/>
      <c r="AA28" s="339">
        <f>Y28+Z28</f>
        <v>130</v>
      </c>
      <c r="AB28" s="283">
        <f t="shared" ref="AB28:AB41" si="12">(AA28/O28)</f>
        <v>0.65</v>
      </c>
      <c r="AC28" s="4"/>
      <c r="AD28" s="4"/>
    </row>
    <row r="29" spans="1:30" x14ac:dyDescent="0.25">
      <c r="A29" s="4"/>
      <c r="B29" s="284" t="s">
        <v>20</v>
      </c>
      <c r="C29" s="299" t="s">
        <v>12</v>
      </c>
      <c r="D29" s="341">
        <v>576.99900000000002</v>
      </c>
      <c r="E29" s="341">
        <v>298.44099999999997</v>
      </c>
      <c r="F29" s="341">
        <v>1826.777</v>
      </c>
      <c r="G29" s="342">
        <f t="shared" ref="G29:G38" si="13">SUM(D29:F29)</f>
        <v>2702.2170000000001</v>
      </c>
      <c r="H29" s="342">
        <v>23.952999999999999</v>
      </c>
      <c r="I29" s="282">
        <f t="shared" ref="I29:I38" si="14">G29+H29</f>
        <v>2726.17</v>
      </c>
      <c r="J29" s="911">
        <v>568.93100000000004</v>
      </c>
      <c r="K29" s="912">
        <v>146.578</v>
      </c>
      <c r="L29" s="912">
        <v>2200</v>
      </c>
      <c r="M29" s="342">
        <f t="shared" ref="M29:M38" si="15">SUM(J29:L29)</f>
        <v>2915.509</v>
      </c>
      <c r="N29" s="913">
        <v>50</v>
      </c>
      <c r="O29" s="282">
        <f t="shared" ref="O29:O38" si="16">M29+N29</f>
        <v>2965.509</v>
      </c>
      <c r="P29" s="343">
        <v>393.93599999999998</v>
      </c>
      <c r="Q29" s="341">
        <v>113.191</v>
      </c>
      <c r="R29" s="341">
        <v>1126.47</v>
      </c>
      <c r="S29" s="342">
        <f t="shared" ref="S29:S38" si="17">SUM(P29:R29)</f>
        <v>1633.597</v>
      </c>
      <c r="T29" s="342"/>
      <c r="U29" s="282">
        <f t="shared" ref="U29:U38" si="18">S29+T29</f>
        <v>1633.597</v>
      </c>
      <c r="V29" s="343">
        <v>660.4</v>
      </c>
      <c r="W29" s="341">
        <v>390</v>
      </c>
      <c r="X29" s="341">
        <v>2528</v>
      </c>
      <c r="Y29" s="342">
        <f t="shared" ref="Y29:Y38" si="19">SUM(V29:X29)</f>
        <v>3578.4</v>
      </c>
      <c r="Z29" s="342">
        <v>50</v>
      </c>
      <c r="AA29" s="282">
        <f t="shared" ref="AA29:AA38" si="20">Y29+Z29</f>
        <v>3628.4</v>
      </c>
      <c r="AB29" s="283">
        <f t="shared" si="12"/>
        <v>1.2235336328434681</v>
      </c>
      <c r="AC29" s="4"/>
      <c r="AD29" s="4"/>
    </row>
    <row r="30" spans="1:30" x14ac:dyDescent="0.25">
      <c r="A30" s="4"/>
      <c r="B30" s="284" t="s">
        <v>22</v>
      </c>
      <c r="C30" s="299" t="s">
        <v>14</v>
      </c>
      <c r="D30" s="341">
        <v>3350.8589999999999</v>
      </c>
      <c r="E30" s="341"/>
      <c r="F30" s="341" t="s">
        <v>87</v>
      </c>
      <c r="G30" s="342">
        <f t="shared" si="13"/>
        <v>3350.8589999999999</v>
      </c>
      <c r="H30" s="342">
        <v>117.72</v>
      </c>
      <c r="I30" s="282">
        <f t="shared" si="14"/>
        <v>3468.5789999999997</v>
      </c>
      <c r="J30" s="911">
        <v>4300</v>
      </c>
      <c r="K30" s="912"/>
      <c r="L30" s="912"/>
      <c r="M30" s="342">
        <f t="shared" si="15"/>
        <v>4300</v>
      </c>
      <c r="N30" s="913">
        <v>110</v>
      </c>
      <c r="O30" s="282">
        <f t="shared" si="16"/>
        <v>4410</v>
      </c>
      <c r="P30" s="343">
        <v>2401.5079999999998</v>
      </c>
      <c r="Q30" s="341"/>
      <c r="R30" s="341"/>
      <c r="S30" s="342">
        <f t="shared" si="17"/>
        <v>2401.5079999999998</v>
      </c>
      <c r="T30" s="342"/>
      <c r="U30" s="282">
        <f t="shared" si="18"/>
        <v>2401.5079999999998</v>
      </c>
      <c r="V30" s="343">
        <v>4150</v>
      </c>
      <c r="W30" s="341"/>
      <c r="X30" s="341"/>
      <c r="Y30" s="342">
        <f t="shared" si="19"/>
        <v>4150</v>
      </c>
      <c r="Z30" s="342">
        <v>100</v>
      </c>
      <c r="AA30" s="282">
        <f t="shared" si="20"/>
        <v>4250</v>
      </c>
      <c r="AB30" s="283">
        <f t="shared" si="12"/>
        <v>0.96371882086167804</v>
      </c>
      <c r="AC30" s="4"/>
      <c r="AD30" s="4"/>
    </row>
    <row r="31" spans="1:30" x14ac:dyDescent="0.25">
      <c r="A31" s="4"/>
      <c r="B31" s="284" t="s">
        <v>24</v>
      </c>
      <c r="C31" s="299" t="s">
        <v>16</v>
      </c>
      <c r="D31" s="341">
        <v>1064.3979999999999</v>
      </c>
      <c r="E31" s="341">
        <v>162.803</v>
      </c>
      <c r="F31" s="341">
        <v>2.1139999999999999</v>
      </c>
      <c r="G31" s="342">
        <f t="shared" si="13"/>
        <v>1229.3150000000001</v>
      </c>
      <c r="H31" s="342">
        <v>7.968</v>
      </c>
      <c r="I31" s="282">
        <f t="shared" si="14"/>
        <v>1237.2830000000001</v>
      </c>
      <c r="J31" s="911">
        <v>949</v>
      </c>
      <c r="K31" s="912">
        <v>60</v>
      </c>
      <c r="L31" s="912">
        <v>20</v>
      </c>
      <c r="M31" s="342">
        <f t="shared" si="15"/>
        <v>1029</v>
      </c>
      <c r="N31" s="913">
        <v>40</v>
      </c>
      <c r="O31" s="282">
        <f t="shared" si="16"/>
        <v>1069</v>
      </c>
      <c r="P31" s="343">
        <v>570.54</v>
      </c>
      <c r="Q31" s="341">
        <v>132.49600000000001</v>
      </c>
      <c r="R31" s="341">
        <v>3.4129999999999998</v>
      </c>
      <c r="S31" s="342">
        <f t="shared" si="17"/>
        <v>706.44899999999996</v>
      </c>
      <c r="T31" s="342"/>
      <c r="U31" s="282">
        <f t="shared" si="18"/>
        <v>706.44899999999996</v>
      </c>
      <c r="V31" s="343">
        <v>1177</v>
      </c>
      <c r="W31" s="341">
        <v>227</v>
      </c>
      <c r="X31" s="341">
        <v>8</v>
      </c>
      <c r="Y31" s="342">
        <f t="shared" si="19"/>
        <v>1412</v>
      </c>
      <c r="Z31" s="342"/>
      <c r="AA31" s="282">
        <f t="shared" si="20"/>
        <v>1412</v>
      </c>
      <c r="AB31" s="283">
        <f t="shared" si="12"/>
        <v>1.3208606173994388</v>
      </c>
      <c r="AC31" s="4"/>
      <c r="AD31" s="4"/>
    </row>
    <row r="32" spans="1:30" x14ac:dyDescent="0.25">
      <c r="A32" s="4"/>
      <c r="B32" s="284" t="s">
        <v>26</v>
      </c>
      <c r="C32" s="299" t="s">
        <v>18</v>
      </c>
      <c r="D32" s="914">
        <v>205.61600000000001</v>
      </c>
      <c r="E32" s="341">
        <v>34787.192999999999</v>
      </c>
      <c r="F32" s="341"/>
      <c r="G32" s="342">
        <f t="shared" si="13"/>
        <v>34992.809000000001</v>
      </c>
      <c r="H32" s="342"/>
      <c r="I32" s="282">
        <f t="shared" si="14"/>
        <v>34992.809000000001</v>
      </c>
      <c r="J32" s="915">
        <v>135.63999999999999</v>
      </c>
      <c r="K32" s="912">
        <v>32393.413</v>
      </c>
      <c r="L32" s="912"/>
      <c r="M32" s="342">
        <f t="shared" si="15"/>
        <v>32529.053</v>
      </c>
      <c r="N32" s="913"/>
      <c r="O32" s="282">
        <f t="shared" si="16"/>
        <v>32529.053</v>
      </c>
      <c r="P32" s="346">
        <v>130.64099999999999</v>
      </c>
      <c r="Q32" s="341">
        <v>16852.473000000002</v>
      </c>
      <c r="R32" s="341"/>
      <c r="S32" s="342">
        <f t="shared" si="17"/>
        <v>16983.114000000001</v>
      </c>
      <c r="T32" s="342"/>
      <c r="U32" s="282">
        <f t="shared" si="18"/>
        <v>16983.114000000001</v>
      </c>
      <c r="V32" s="506">
        <v>120.176</v>
      </c>
      <c r="W32" s="341">
        <v>37550</v>
      </c>
      <c r="X32" s="341"/>
      <c r="Y32" s="342">
        <f t="shared" si="19"/>
        <v>37670.175999999999</v>
      </c>
      <c r="Z32" s="342"/>
      <c r="AA32" s="282">
        <f t="shared" si="20"/>
        <v>37670.175999999999</v>
      </c>
      <c r="AB32" s="283">
        <f t="shared" si="12"/>
        <v>1.1580471156046257</v>
      </c>
      <c r="AC32" s="4"/>
      <c r="AD32" s="4"/>
    </row>
    <row r="33" spans="1:30" x14ac:dyDescent="0.25">
      <c r="A33" s="4"/>
      <c r="B33" s="284" t="s">
        <v>28</v>
      </c>
      <c r="C33" s="295" t="s">
        <v>42</v>
      </c>
      <c r="D33" s="914">
        <v>141.816</v>
      </c>
      <c r="E33" s="341">
        <v>33976.978000000003</v>
      </c>
      <c r="F33" s="341"/>
      <c r="G33" s="342">
        <f t="shared" si="13"/>
        <v>34118.794000000002</v>
      </c>
      <c r="H33" s="342"/>
      <c r="I33" s="282">
        <f t="shared" si="14"/>
        <v>34118.794000000002</v>
      </c>
      <c r="J33" s="915">
        <v>135.63999999999999</v>
      </c>
      <c r="K33" s="912">
        <v>32343.413</v>
      </c>
      <c r="L33" s="912"/>
      <c r="M33" s="342">
        <f t="shared" si="15"/>
        <v>32479.053</v>
      </c>
      <c r="N33" s="913"/>
      <c r="O33" s="282">
        <f t="shared" si="16"/>
        <v>32479.053</v>
      </c>
      <c r="P33" s="346">
        <v>130.64099999999999</v>
      </c>
      <c r="Q33" s="341">
        <v>16331.233</v>
      </c>
      <c r="R33" s="341"/>
      <c r="S33" s="342">
        <f t="shared" si="17"/>
        <v>16461.874</v>
      </c>
      <c r="T33" s="342"/>
      <c r="U33" s="282">
        <f t="shared" si="18"/>
        <v>16461.874</v>
      </c>
      <c r="V33" s="506">
        <v>120.176</v>
      </c>
      <c r="W33" s="341">
        <v>37100</v>
      </c>
      <c r="X33" s="341"/>
      <c r="Y33" s="342">
        <f t="shared" si="19"/>
        <v>37220.175999999999</v>
      </c>
      <c r="Z33" s="342"/>
      <c r="AA33" s="282">
        <f t="shared" si="20"/>
        <v>37220.175999999999</v>
      </c>
      <c r="AB33" s="283">
        <f t="shared" si="12"/>
        <v>1.1459747918142811</v>
      </c>
      <c r="AC33" s="4"/>
      <c r="AD33" s="4"/>
    </row>
    <row r="34" spans="1:30" x14ac:dyDescent="0.25">
      <c r="A34" s="4"/>
      <c r="B34" s="284" t="s">
        <v>30</v>
      </c>
      <c r="C34" s="349" t="s">
        <v>21</v>
      </c>
      <c r="D34" s="345">
        <v>63.8</v>
      </c>
      <c r="E34" s="341">
        <v>810.21500000000003</v>
      </c>
      <c r="F34" s="341"/>
      <c r="G34" s="342">
        <f t="shared" si="13"/>
        <v>874.01499999999999</v>
      </c>
      <c r="H34" s="342"/>
      <c r="I34" s="282">
        <f t="shared" si="14"/>
        <v>874.01499999999999</v>
      </c>
      <c r="J34" s="915" t="s">
        <v>87</v>
      </c>
      <c r="K34" s="912">
        <v>50</v>
      </c>
      <c r="L34" s="912"/>
      <c r="M34" s="342">
        <f>SUM(J34:L34)</f>
        <v>50</v>
      </c>
      <c r="N34" s="913"/>
      <c r="O34" s="282">
        <f t="shared" si="16"/>
        <v>50</v>
      </c>
      <c r="P34" s="346" t="s">
        <v>87</v>
      </c>
      <c r="Q34" s="341">
        <v>521.24</v>
      </c>
      <c r="R34" s="341"/>
      <c r="S34" s="342">
        <f t="shared" si="17"/>
        <v>521.24</v>
      </c>
      <c r="T34" s="342"/>
      <c r="U34" s="282">
        <f t="shared" si="18"/>
        <v>521.24</v>
      </c>
      <c r="V34" s="346" t="s">
        <v>87</v>
      </c>
      <c r="W34" s="341">
        <v>450</v>
      </c>
      <c r="X34" s="341"/>
      <c r="Y34" s="342">
        <f t="shared" si="19"/>
        <v>450</v>
      </c>
      <c r="Z34" s="342"/>
      <c r="AA34" s="282">
        <f t="shared" si="20"/>
        <v>450</v>
      </c>
      <c r="AB34" s="283">
        <f t="shared" si="12"/>
        <v>9</v>
      </c>
      <c r="AC34" s="4"/>
      <c r="AD34" s="4"/>
    </row>
    <row r="35" spans="1:30" x14ac:dyDescent="0.25">
      <c r="A35" s="4"/>
      <c r="B35" s="284" t="s">
        <v>32</v>
      </c>
      <c r="C35" s="299" t="s">
        <v>23</v>
      </c>
      <c r="D35" s="914">
        <v>68.721999999999994</v>
      </c>
      <c r="E35" s="341">
        <v>11584.323</v>
      </c>
      <c r="F35" s="341"/>
      <c r="G35" s="342">
        <f t="shared" si="13"/>
        <v>11653.045</v>
      </c>
      <c r="H35" s="342"/>
      <c r="I35" s="282">
        <f t="shared" si="14"/>
        <v>11653.045</v>
      </c>
      <c r="J35" s="915">
        <v>45.847000000000001</v>
      </c>
      <c r="K35" s="912">
        <v>11084.816000000001</v>
      </c>
      <c r="L35" s="912"/>
      <c r="M35" s="342">
        <f t="shared" si="15"/>
        <v>11130.663</v>
      </c>
      <c r="N35" s="913"/>
      <c r="O35" s="282">
        <f t="shared" si="16"/>
        <v>11130.663</v>
      </c>
      <c r="P35" s="346">
        <v>47.536999999999999</v>
      </c>
      <c r="Q35" s="341">
        <v>5600.9889999999996</v>
      </c>
      <c r="R35" s="341"/>
      <c r="S35" s="342">
        <f t="shared" si="17"/>
        <v>5648.5259999999998</v>
      </c>
      <c r="T35" s="342"/>
      <c r="U35" s="282">
        <f t="shared" si="18"/>
        <v>5648.5259999999998</v>
      </c>
      <c r="V35" s="506">
        <v>40.619999999999997</v>
      </c>
      <c r="W35" s="341">
        <v>12705.5</v>
      </c>
      <c r="X35" s="341"/>
      <c r="Y35" s="342">
        <f t="shared" si="19"/>
        <v>12746.12</v>
      </c>
      <c r="Z35" s="342"/>
      <c r="AA35" s="282">
        <f t="shared" si="20"/>
        <v>12746.12</v>
      </c>
      <c r="AB35" s="283">
        <f t="shared" si="12"/>
        <v>1.1451357389941641</v>
      </c>
      <c r="AC35" s="4"/>
      <c r="AD35" s="4"/>
    </row>
    <row r="36" spans="1:30" x14ac:dyDescent="0.25">
      <c r="A36" s="4"/>
      <c r="B36" s="284" t="s">
        <v>33</v>
      </c>
      <c r="C36" s="299" t="s">
        <v>25</v>
      </c>
      <c r="D36" s="341" t="s">
        <v>87</v>
      </c>
      <c r="E36" s="341"/>
      <c r="F36" s="341"/>
      <c r="G36" s="342">
        <f t="shared" si="13"/>
        <v>0</v>
      </c>
      <c r="H36" s="342"/>
      <c r="I36" s="282">
        <f t="shared" si="14"/>
        <v>0</v>
      </c>
      <c r="J36" s="911"/>
      <c r="K36" s="912"/>
      <c r="L36" s="912"/>
      <c r="M36" s="342">
        <f t="shared" si="15"/>
        <v>0</v>
      </c>
      <c r="N36" s="913"/>
      <c r="O36" s="282">
        <f t="shared" si="16"/>
        <v>0</v>
      </c>
      <c r="P36" s="343"/>
      <c r="Q36" s="341">
        <v>698.048</v>
      </c>
      <c r="R36" s="341"/>
      <c r="S36" s="342">
        <f t="shared" si="17"/>
        <v>698.048</v>
      </c>
      <c r="T36" s="342"/>
      <c r="U36" s="282">
        <f t="shared" si="18"/>
        <v>698.048</v>
      </c>
      <c r="V36" s="343"/>
      <c r="W36" s="341"/>
      <c r="X36" s="341"/>
      <c r="Y36" s="342">
        <f t="shared" si="19"/>
        <v>0</v>
      </c>
      <c r="Z36" s="342"/>
      <c r="AA36" s="282">
        <f t="shared" si="20"/>
        <v>0</v>
      </c>
      <c r="AB36" s="283" t="e">
        <f t="shared" si="12"/>
        <v>#DIV/0!</v>
      </c>
      <c r="AC36" s="4"/>
      <c r="AD36" s="4"/>
    </row>
    <row r="37" spans="1:30" x14ac:dyDescent="0.25">
      <c r="A37" s="4"/>
      <c r="B37" s="284" t="s">
        <v>34</v>
      </c>
      <c r="C37" s="299" t="s">
        <v>27</v>
      </c>
      <c r="D37" s="341">
        <v>480.68299999999999</v>
      </c>
      <c r="E37" s="341"/>
      <c r="F37" s="341">
        <v>1446.8710000000001</v>
      </c>
      <c r="G37" s="342">
        <f t="shared" si="13"/>
        <v>1927.5540000000001</v>
      </c>
      <c r="H37" s="342"/>
      <c r="I37" s="282">
        <f t="shared" si="14"/>
        <v>1927.5540000000001</v>
      </c>
      <c r="J37" s="343">
        <v>468.06900000000002</v>
      </c>
      <c r="K37" s="912"/>
      <c r="L37" s="912">
        <v>1446.88</v>
      </c>
      <c r="M37" s="342">
        <f t="shared" si="15"/>
        <v>1914.9490000000001</v>
      </c>
      <c r="N37" s="913"/>
      <c r="O37" s="282">
        <f t="shared" si="16"/>
        <v>1914.9490000000001</v>
      </c>
      <c r="P37" s="343">
        <v>242.07</v>
      </c>
      <c r="Q37" s="341"/>
      <c r="R37" s="341">
        <v>723.43399999999997</v>
      </c>
      <c r="S37" s="342">
        <f t="shared" si="17"/>
        <v>965.50399999999991</v>
      </c>
      <c r="T37" s="342"/>
      <c r="U37" s="282">
        <f t="shared" si="18"/>
        <v>965.50399999999991</v>
      </c>
      <c r="V37" s="343">
        <v>480</v>
      </c>
      <c r="W37" s="341"/>
      <c r="X37" s="341">
        <v>1446.8689999999999</v>
      </c>
      <c r="Y37" s="342">
        <f t="shared" si="19"/>
        <v>1926.8689999999999</v>
      </c>
      <c r="Z37" s="342"/>
      <c r="AA37" s="282">
        <f t="shared" si="20"/>
        <v>1926.8689999999999</v>
      </c>
      <c r="AB37" s="283">
        <f t="shared" si="12"/>
        <v>1.006224708856476</v>
      </c>
      <c r="AC37" s="4"/>
      <c r="AD37" s="4"/>
    </row>
    <row r="38" spans="1:30" ht="15.75" thickBot="1" x14ac:dyDescent="0.3">
      <c r="A38" s="4"/>
      <c r="B38" s="502" t="s">
        <v>35</v>
      </c>
      <c r="C38" s="350" t="s">
        <v>29</v>
      </c>
      <c r="D38" s="351">
        <v>501.02</v>
      </c>
      <c r="E38" s="351">
        <v>1931.979</v>
      </c>
      <c r="F38" s="351">
        <v>65.218999999999994</v>
      </c>
      <c r="G38" s="342">
        <f t="shared" si="13"/>
        <v>2498.2179999999998</v>
      </c>
      <c r="H38" s="352"/>
      <c r="I38" s="308">
        <f t="shared" si="14"/>
        <v>2498.2179999999998</v>
      </c>
      <c r="J38" s="916">
        <v>222.31299999999999</v>
      </c>
      <c r="K38" s="917">
        <v>1203.8679999999999</v>
      </c>
      <c r="L38" s="917">
        <v>150</v>
      </c>
      <c r="M38" s="352">
        <f t="shared" si="15"/>
        <v>1576.181</v>
      </c>
      <c r="N38" s="918"/>
      <c r="O38" s="308">
        <f t="shared" si="16"/>
        <v>1576.181</v>
      </c>
      <c r="P38" s="353">
        <v>102.699</v>
      </c>
      <c r="Q38" s="351"/>
      <c r="R38" s="351">
        <v>27.422000000000001</v>
      </c>
      <c r="S38" s="352">
        <f t="shared" si="17"/>
        <v>130.12100000000001</v>
      </c>
      <c r="T38" s="352"/>
      <c r="U38" s="308">
        <f t="shared" si="18"/>
        <v>130.12100000000001</v>
      </c>
      <c r="V38" s="353">
        <v>256.404</v>
      </c>
      <c r="W38" s="351">
        <v>1147.5</v>
      </c>
      <c r="X38" s="351">
        <v>25</v>
      </c>
      <c r="Y38" s="352">
        <f t="shared" si="19"/>
        <v>1428.904</v>
      </c>
      <c r="Z38" s="352"/>
      <c r="AA38" s="308">
        <f t="shared" si="20"/>
        <v>1428.904</v>
      </c>
      <c r="AB38" s="309">
        <f t="shared" si="12"/>
        <v>0.9065608581755521</v>
      </c>
      <c r="AC38" s="4"/>
      <c r="AD38" s="4"/>
    </row>
    <row r="39" spans="1:30" ht="15.75" thickBot="1" x14ac:dyDescent="0.3">
      <c r="A39" s="4"/>
      <c r="B39" s="310" t="s">
        <v>48</v>
      </c>
      <c r="C39" s="354" t="s">
        <v>31</v>
      </c>
      <c r="D39" s="355">
        <f>SUM(D35:D38)+SUM(D28:D32)</f>
        <v>6530.7330000000002</v>
      </c>
      <c r="E39" s="355">
        <f>SUM(E35:E38)+SUM(E28:E32)</f>
        <v>48764.739000000001</v>
      </c>
      <c r="F39" s="355">
        <f>SUM(F35:F38)+SUM(F28:F32)</f>
        <v>3340.9810000000002</v>
      </c>
      <c r="G39" s="356">
        <f>SUM(D39:F39)</f>
        <v>58636.453000000001</v>
      </c>
      <c r="H39" s="357">
        <f>SUM(H28:H32)+SUM(H35:H38)</f>
        <v>149.64099999999999</v>
      </c>
      <c r="I39" s="358">
        <f>SUM(I35:I38)+SUM(I28:I32)</f>
        <v>58786.093999999997</v>
      </c>
      <c r="J39" s="355">
        <f>SUM(J35:J38)+SUM(J28:J32)</f>
        <v>6889.8000000000011</v>
      </c>
      <c r="K39" s="355">
        <f>SUM(K35:K38)+SUM(K28:K32)</f>
        <v>44888.675000000003</v>
      </c>
      <c r="L39" s="355">
        <f>SUM(L35:L38)+SUM(L28:L32)</f>
        <v>3816.88</v>
      </c>
      <c r="M39" s="356">
        <f>SUM(J39:L39)</f>
        <v>55595.355000000003</v>
      </c>
      <c r="N39" s="357">
        <f>SUM(N28:N32)+SUM(N35:N38)</f>
        <v>200</v>
      </c>
      <c r="O39" s="358">
        <f>SUM(O35:O38)+SUM(O28:O32)</f>
        <v>55795.354999999996</v>
      </c>
      <c r="P39" s="355">
        <f>SUM(P35:P38)+SUM(P28:P32)</f>
        <v>3981.5009999999997</v>
      </c>
      <c r="Q39" s="355">
        <f>SUM(Q35:Q38)+SUM(Q28:Q32)</f>
        <v>23397.197000000004</v>
      </c>
      <c r="R39" s="355">
        <f>SUM(R35:R38)+SUM(R28:R32)</f>
        <v>1880.739</v>
      </c>
      <c r="S39" s="356">
        <f>SUM(P39:R39)</f>
        <v>29259.437000000005</v>
      </c>
      <c r="T39" s="357">
        <f>SUM(T28:T32)+SUM(T35:T38)</f>
        <v>0</v>
      </c>
      <c r="U39" s="358">
        <f>SUM(U35:U38)+SUM(U28:U32)</f>
        <v>29259.437000000002</v>
      </c>
      <c r="V39" s="355">
        <f>SUM(V35:V38)+SUM(V28:V32)</f>
        <v>7014.6</v>
      </c>
      <c r="W39" s="355">
        <f>SUM(W35:W38)+SUM(W28:W32)</f>
        <v>52020</v>
      </c>
      <c r="X39" s="355">
        <f>SUM(X35:X38)+SUM(X28:X32)</f>
        <v>4007.8689999999997</v>
      </c>
      <c r="Y39" s="356">
        <f>SUM(V39:X39)</f>
        <v>63042.468999999997</v>
      </c>
      <c r="Z39" s="357">
        <f>SUM(Z28:Z32)+SUM(Z35:Z38)</f>
        <v>150</v>
      </c>
      <c r="AA39" s="358">
        <f>SUM(AA35:AA38)+SUM(AA28:AA32)</f>
        <v>63192.469000000005</v>
      </c>
      <c r="AB39" s="359">
        <f t="shared" si="12"/>
        <v>1.1325758031291315</v>
      </c>
      <c r="AC39" s="4"/>
      <c r="AD39" s="4"/>
    </row>
    <row r="40" spans="1:30" ht="19.5" thickBot="1" x14ac:dyDescent="0.35">
      <c r="A40" s="4"/>
      <c r="B40" s="360" t="s">
        <v>49</v>
      </c>
      <c r="C40" s="361" t="s">
        <v>51</v>
      </c>
      <c r="D40" s="362">
        <f t="shared" ref="D40:AA40" si="21">D24-D39</f>
        <v>-524.23300000000017</v>
      </c>
      <c r="E40" s="362">
        <f t="shared" si="21"/>
        <v>9.9999999656574801E-4</v>
      </c>
      <c r="F40" s="362">
        <f t="shared" si="21"/>
        <v>544.66200000000026</v>
      </c>
      <c r="G40" s="363">
        <f t="shared" si="21"/>
        <v>20.430000000000291</v>
      </c>
      <c r="H40" s="363">
        <f t="shared" si="21"/>
        <v>221.24600000000001</v>
      </c>
      <c r="I40" s="364">
        <f t="shared" si="21"/>
        <v>241.6759999999922</v>
      </c>
      <c r="J40" s="362">
        <f t="shared" si="21"/>
        <v>0</v>
      </c>
      <c r="K40" s="362">
        <f t="shared" si="21"/>
        <v>0</v>
      </c>
      <c r="L40" s="362">
        <f t="shared" si="21"/>
        <v>0</v>
      </c>
      <c r="M40" s="363">
        <f t="shared" si="21"/>
        <v>0</v>
      </c>
      <c r="N40" s="363">
        <f t="shared" si="21"/>
        <v>0</v>
      </c>
      <c r="O40" s="364">
        <f t="shared" si="21"/>
        <v>0</v>
      </c>
      <c r="P40" s="362">
        <f t="shared" si="21"/>
        <v>-226.75500000000011</v>
      </c>
      <c r="Q40" s="362">
        <f t="shared" si="21"/>
        <v>9.9999999656574801E-4</v>
      </c>
      <c r="R40" s="362">
        <f t="shared" si="21"/>
        <v>198.8449999999998</v>
      </c>
      <c r="S40" s="363">
        <f t="shared" si="21"/>
        <v>-27.909000000006927</v>
      </c>
      <c r="T40" s="363">
        <f t="shared" si="21"/>
        <v>70.67</v>
      </c>
      <c r="U40" s="364">
        <f t="shared" si="21"/>
        <v>42.760999999998603</v>
      </c>
      <c r="V40" s="362">
        <f t="shared" si="21"/>
        <v>0</v>
      </c>
      <c r="W40" s="362">
        <f t="shared" si="21"/>
        <v>0</v>
      </c>
      <c r="X40" s="362">
        <f t="shared" si="21"/>
        <v>0</v>
      </c>
      <c r="Y40" s="363">
        <f t="shared" si="21"/>
        <v>0</v>
      </c>
      <c r="Z40" s="363">
        <f t="shared" si="21"/>
        <v>0</v>
      </c>
      <c r="AA40" s="364">
        <f t="shared" si="21"/>
        <v>0</v>
      </c>
      <c r="AB40" s="365" t="e">
        <f t="shared" si="12"/>
        <v>#DIV/0!</v>
      </c>
      <c r="AC40" s="4"/>
      <c r="AD40" s="4"/>
    </row>
    <row r="41" spans="1:30" ht="15.75" thickBot="1" x14ac:dyDescent="0.3">
      <c r="A41" s="4"/>
      <c r="B41" s="366" t="s">
        <v>50</v>
      </c>
      <c r="C41" s="367" t="s">
        <v>65</v>
      </c>
      <c r="D41" s="368"/>
      <c r="E41" s="369"/>
      <c r="F41" s="369"/>
      <c r="G41" s="370"/>
      <c r="H41" s="371"/>
      <c r="I41" s="372">
        <f>I40-D16</f>
        <v>-5426.9240000000082</v>
      </c>
      <c r="J41" s="368"/>
      <c r="K41" s="369"/>
      <c r="L41" s="369"/>
      <c r="M41" s="370"/>
      <c r="N41" s="373"/>
      <c r="O41" s="372">
        <f>O40-J16</f>
        <v>-6620</v>
      </c>
      <c r="P41" s="368"/>
      <c r="Q41" s="369"/>
      <c r="R41" s="369"/>
      <c r="S41" s="370"/>
      <c r="T41" s="373"/>
      <c r="U41" s="372">
        <f>U40-P16</f>
        <v>-3517.4390000000012</v>
      </c>
      <c r="V41" s="368"/>
      <c r="W41" s="369"/>
      <c r="X41" s="369"/>
      <c r="Y41" s="370"/>
      <c r="Z41" s="373"/>
      <c r="AA41" s="372">
        <f>AA40-V16</f>
        <v>-6770</v>
      </c>
      <c r="AB41" s="283">
        <f t="shared" si="12"/>
        <v>1.0226586102719033</v>
      </c>
      <c r="AC41" s="4"/>
      <c r="AD41" s="4"/>
    </row>
    <row r="42" spans="1:30" ht="8.25" customHeight="1" thickBot="1" x14ac:dyDescent="0.3">
      <c r="A42" s="4"/>
      <c r="B42" s="374"/>
      <c r="C42" s="375"/>
      <c r="D42" s="376"/>
      <c r="E42" s="377"/>
      <c r="F42" s="377"/>
      <c r="G42" s="4"/>
      <c r="H42" s="377"/>
      <c r="I42" s="377"/>
      <c r="J42" s="376"/>
      <c r="K42" s="377"/>
      <c r="L42" s="377"/>
      <c r="M42" s="4"/>
      <c r="N42" s="377"/>
      <c r="O42" s="377"/>
      <c r="P42" s="377"/>
      <c r="Q42" s="377"/>
      <c r="R42" s="377"/>
      <c r="S42" s="377"/>
      <c r="T42" s="377"/>
      <c r="U42" s="377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thickBot="1" x14ac:dyDescent="0.3">
      <c r="A43" s="4"/>
      <c r="B43" s="374"/>
      <c r="C43" s="378" t="s">
        <v>82</v>
      </c>
      <c r="D43" s="106" t="s">
        <v>41</v>
      </c>
      <c r="E43" s="379" t="s">
        <v>83</v>
      </c>
      <c r="F43" s="380" t="s">
        <v>36</v>
      </c>
      <c r="G43" s="377"/>
      <c r="H43" s="377"/>
      <c r="I43" s="381"/>
      <c r="J43" s="106" t="s">
        <v>41</v>
      </c>
      <c r="K43" s="379" t="s">
        <v>83</v>
      </c>
      <c r="L43" s="380" t="s">
        <v>36</v>
      </c>
      <c r="M43" s="377"/>
      <c r="N43" s="377"/>
      <c r="O43" s="377"/>
      <c r="P43" s="106" t="s">
        <v>41</v>
      </c>
      <c r="Q43" s="379" t="s">
        <v>83</v>
      </c>
      <c r="R43" s="380" t="s">
        <v>36</v>
      </c>
      <c r="S43" s="4"/>
      <c r="T43" s="4"/>
      <c r="U43" s="4"/>
      <c r="V43" s="106" t="s">
        <v>41</v>
      </c>
      <c r="W43" s="379" t="s">
        <v>83</v>
      </c>
      <c r="X43" s="380" t="s">
        <v>36</v>
      </c>
      <c r="Y43" s="4"/>
      <c r="Z43" s="4"/>
      <c r="AA43" s="4"/>
      <c r="AB43" s="4"/>
      <c r="AC43" s="4"/>
      <c r="AD43" s="4"/>
    </row>
    <row r="44" spans="1:30" ht="15.75" thickBot="1" x14ac:dyDescent="0.3">
      <c r="A44" s="4"/>
      <c r="B44" s="374"/>
      <c r="C44" s="382"/>
      <c r="D44" s="383">
        <v>220</v>
      </c>
      <c r="E44" s="384">
        <v>220</v>
      </c>
      <c r="F44" s="385">
        <v>0</v>
      </c>
      <c r="G44" s="377"/>
      <c r="H44" s="377"/>
      <c r="I44" s="381"/>
      <c r="J44" s="383">
        <v>220</v>
      </c>
      <c r="K44" s="384">
        <v>220</v>
      </c>
      <c r="L44" s="385">
        <v>0</v>
      </c>
      <c r="M44" s="386"/>
      <c r="N44" s="386"/>
      <c r="O44" s="386"/>
      <c r="P44" s="383">
        <v>220</v>
      </c>
      <c r="Q44" s="384">
        <v>220</v>
      </c>
      <c r="R44" s="385">
        <v>0</v>
      </c>
      <c r="S44" s="4"/>
      <c r="T44" s="4"/>
      <c r="U44" s="4"/>
      <c r="V44" s="383">
        <v>220</v>
      </c>
      <c r="W44" s="384">
        <v>220</v>
      </c>
      <c r="X44" s="385">
        <v>0</v>
      </c>
      <c r="Y44" s="4"/>
      <c r="Z44" s="4"/>
      <c r="AA44" s="4"/>
      <c r="AB44" s="4"/>
      <c r="AC44" s="4"/>
      <c r="AD44" s="4"/>
    </row>
    <row r="45" spans="1:30" ht="8.25" customHeight="1" thickBot="1" x14ac:dyDescent="0.3">
      <c r="A45" s="4"/>
      <c r="B45" s="374"/>
      <c r="C45" s="375"/>
      <c r="D45" s="386"/>
      <c r="E45" s="377"/>
      <c r="F45" s="377"/>
      <c r="G45" s="377"/>
      <c r="H45" s="377"/>
      <c r="I45" s="381"/>
      <c r="J45" s="377"/>
      <c r="K45" s="377"/>
      <c r="L45" s="377"/>
      <c r="M45" s="377"/>
      <c r="N45" s="377"/>
      <c r="O45" s="381"/>
      <c r="P45" s="381"/>
      <c r="Q45" s="381"/>
      <c r="R45" s="381"/>
      <c r="S45" s="381"/>
      <c r="T45" s="381"/>
      <c r="U45" s="381"/>
      <c r="V45" s="4"/>
      <c r="W45" s="4"/>
      <c r="X45" s="4"/>
      <c r="Y45" s="4"/>
      <c r="Z45" s="4"/>
      <c r="AA45" s="4"/>
      <c r="AB45" s="4"/>
      <c r="AC45" s="4"/>
      <c r="AD45" s="4"/>
    </row>
    <row r="46" spans="1:30" ht="37.5" customHeight="1" thickBot="1" x14ac:dyDescent="0.3">
      <c r="A46" s="4"/>
      <c r="B46" s="374"/>
      <c r="C46" s="378" t="s">
        <v>85</v>
      </c>
      <c r="D46" s="95" t="s">
        <v>86</v>
      </c>
      <c r="E46" s="387" t="s">
        <v>84</v>
      </c>
      <c r="F46" s="377"/>
      <c r="G46" s="377"/>
      <c r="H46" s="377"/>
      <c r="I46" s="381"/>
      <c r="J46" s="95" t="s">
        <v>86</v>
      </c>
      <c r="K46" s="387" t="s">
        <v>84</v>
      </c>
      <c r="L46" s="388"/>
      <c r="M46" s="388"/>
      <c r="N46" s="4"/>
      <c r="O46" s="4"/>
      <c r="P46" s="95" t="s">
        <v>86</v>
      </c>
      <c r="Q46" s="387" t="s">
        <v>84</v>
      </c>
      <c r="R46" s="4"/>
      <c r="S46" s="4"/>
      <c r="T46" s="4"/>
      <c r="U46" s="4"/>
      <c r="V46" s="95" t="s">
        <v>86</v>
      </c>
      <c r="W46" s="387" t="s">
        <v>84</v>
      </c>
      <c r="X46" s="4"/>
      <c r="Y46" s="4"/>
      <c r="Z46" s="4"/>
      <c r="AA46" s="4"/>
      <c r="AB46" s="4"/>
      <c r="AC46" s="4"/>
      <c r="AD46" s="4"/>
    </row>
    <row r="47" spans="1:30" ht="15.75" thickBot="1" x14ac:dyDescent="0.3">
      <c r="A47" s="4"/>
      <c r="B47" s="389"/>
      <c r="C47" s="390"/>
      <c r="D47" s="383">
        <v>0</v>
      </c>
      <c r="E47" s="391">
        <v>0</v>
      </c>
      <c r="F47" s="377"/>
      <c r="G47" s="377"/>
      <c r="H47" s="377"/>
      <c r="I47" s="381"/>
      <c r="J47" s="383">
        <v>0</v>
      </c>
      <c r="K47" s="391">
        <v>0</v>
      </c>
      <c r="L47" s="392"/>
      <c r="M47" s="392"/>
      <c r="N47" s="4"/>
      <c r="O47" s="4"/>
      <c r="P47" s="383">
        <v>0</v>
      </c>
      <c r="Q47" s="391">
        <v>0</v>
      </c>
      <c r="R47" s="4"/>
      <c r="S47" s="4"/>
      <c r="T47" s="4"/>
      <c r="U47" s="4"/>
      <c r="V47" s="383">
        <v>0</v>
      </c>
      <c r="W47" s="391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4"/>
      <c r="B48" s="389"/>
      <c r="C48" s="375"/>
      <c r="D48" s="377"/>
      <c r="E48" s="377"/>
      <c r="F48" s="377"/>
      <c r="G48" s="377"/>
      <c r="H48" s="377"/>
      <c r="I48" s="381"/>
      <c r="J48" s="377"/>
      <c r="K48" s="377"/>
      <c r="L48" s="377"/>
      <c r="M48" s="377"/>
      <c r="N48" s="377"/>
      <c r="O48" s="381"/>
      <c r="P48" s="381"/>
      <c r="Q48" s="381"/>
      <c r="R48" s="381"/>
      <c r="S48" s="381"/>
      <c r="T48" s="381"/>
      <c r="U48" s="381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4"/>
      <c r="B49" s="389"/>
      <c r="C49" s="393" t="s">
        <v>81</v>
      </c>
      <c r="D49" s="394" t="s">
        <v>72</v>
      </c>
      <c r="E49" s="394" t="s">
        <v>73</v>
      </c>
      <c r="F49" s="394" t="s">
        <v>91</v>
      </c>
      <c r="G49" s="394" t="s">
        <v>93</v>
      </c>
      <c r="H49" s="377"/>
      <c r="I49" s="4"/>
      <c r="J49" s="394" t="s">
        <v>72</v>
      </c>
      <c r="K49" s="394" t="s">
        <v>73</v>
      </c>
      <c r="L49" s="394" t="s">
        <v>91</v>
      </c>
      <c r="M49" s="394" t="s">
        <v>94</v>
      </c>
      <c r="N49" s="4"/>
      <c r="O49" s="4"/>
      <c r="P49" s="394" t="s">
        <v>72</v>
      </c>
      <c r="Q49" s="394" t="s">
        <v>73</v>
      </c>
      <c r="R49" s="394" t="s">
        <v>91</v>
      </c>
      <c r="S49" s="394" t="s">
        <v>98</v>
      </c>
      <c r="T49" s="4"/>
      <c r="U49" s="4"/>
      <c r="V49" s="394" t="s">
        <v>95</v>
      </c>
      <c r="W49" s="394" t="s">
        <v>73</v>
      </c>
      <c r="X49" s="394" t="s">
        <v>91</v>
      </c>
      <c r="Y49" s="394" t="s">
        <v>94</v>
      </c>
      <c r="Z49" s="4"/>
      <c r="AA49" s="4"/>
      <c r="AB49" s="4"/>
      <c r="AC49" s="4"/>
      <c r="AD49" s="4"/>
    </row>
    <row r="50" spans="1:30" x14ac:dyDescent="0.25">
      <c r="A50" s="4"/>
      <c r="B50" s="389"/>
      <c r="C50" s="395" t="s">
        <v>117</v>
      </c>
      <c r="D50" s="396">
        <f>D51+D52+D53+D54</f>
        <v>4712.7789999999995</v>
      </c>
      <c r="E50" s="396">
        <f t="shared" ref="E50:F50" si="22">E51+E52+E53+E54</f>
        <v>1654.182</v>
      </c>
      <c r="F50" s="396">
        <f t="shared" si="22"/>
        <v>4376.607</v>
      </c>
      <c r="G50" s="397">
        <f>D50+E50-F50</f>
        <v>1990.3539999999994</v>
      </c>
      <c r="H50" s="377"/>
      <c r="I50" s="4"/>
      <c r="J50" s="396">
        <v>1311.2</v>
      </c>
      <c r="K50" s="396">
        <v>1302</v>
      </c>
      <c r="L50" s="396">
        <v>1720</v>
      </c>
      <c r="M50" s="397">
        <f>J50+K50-L50</f>
        <v>893.19999999999982</v>
      </c>
      <c r="N50" s="4"/>
      <c r="O50" s="4"/>
      <c r="P50" s="396">
        <f>P51+P52+P53+P54</f>
        <v>1990.3550000000002</v>
      </c>
      <c r="Q50" s="396">
        <f>Q51+Q52+Q53+Q54</f>
        <v>816.49399999999991</v>
      </c>
      <c r="R50" s="396">
        <f>R51+R52+R53+R54</f>
        <v>999.38300000000004</v>
      </c>
      <c r="S50" s="397">
        <f>P50+Q50-R50</f>
        <v>1807.4660000000001</v>
      </c>
      <c r="T50" s="4"/>
      <c r="U50" s="4"/>
      <c r="V50" s="396">
        <f>V51+V52+V53+V54</f>
        <v>1605</v>
      </c>
      <c r="W50" s="396">
        <f t="shared" ref="W50:X50" si="23">W51+W52+W53+W54</f>
        <v>1570</v>
      </c>
      <c r="X50" s="396">
        <f t="shared" si="23"/>
        <v>2070</v>
      </c>
      <c r="Y50" s="397">
        <f>V50+W50-X50</f>
        <v>1105</v>
      </c>
      <c r="Z50" s="4"/>
      <c r="AA50" s="4"/>
      <c r="AB50" s="4"/>
      <c r="AC50" s="4"/>
      <c r="AD50" s="4"/>
    </row>
    <row r="51" spans="1:30" x14ac:dyDescent="0.25">
      <c r="A51" s="4"/>
      <c r="B51" s="389"/>
      <c r="C51" s="395" t="s">
        <v>70</v>
      </c>
      <c r="D51" s="396">
        <v>3118.74</v>
      </c>
      <c r="E51" s="396">
        <v>452.9</v>
      </c>
      <c r="F51" s="396">
        <v>2901.8090000000002</v>
      </c>
      <c r="G51" s="397">
        <f t="shared" ref="G51:G54" si="24">D51+E51-F51</f>
        <v>669.83099999999968</v>
      </c>
      <c r="H51" s="377"/>
      <c r="I51" s="4"/>
      <c r="J51" s="396">
        <v>268.5</v>
      </c>
      <c r="K51" s="396">
        <v>30</v>
      </c>
      <c r="L51" s="396">
        <v>50</v>
      </c>
      <c r="M51" s="397">
        <f t="shared" ref="M51:M54" si="25">J51+K51-L51</f>
        <v>248.5</v>
      </c>
      <c r="N51" s="4"/>
      <c r="O51" s="4"/>
      <c r="P51" s="396">
        <v>669.83199999999999</v>
      </c>
      <c r="Q51" s="396">
        <v>217.673</v>
      </c>
      <c r="R51" s="396">
        <v>336.33199999999999</v>
      </c>
      <c r="S51" s="397">
        <f t="shared" ref="S51:S54" si="26">P51+Q51-R51</f>
        <v>551.173</v>
      </c>
      <c r="T51" s="4"/>
      <c r="U51" s="4"/>
      <c r="V51" s="396">
        <v>510</v>
      </c>
      <c r="W51" s="396">
        <v>740</v>
      </c>
      <c r="X51" s="396">
        <v>730</v>
      </c>
      <c r="Y51" s="397">
        <f t="shared" ref="Y51:Y54" si="27">V51+W51-X51</f>
        <v>520</v>
      </c>
      <c r="Z51" s="4"/>
      <c r="AA51" s="4"/>
      <c r="AB51" s="4"/>
      <c r="AC51" s="4"/>
      <c r="AD51" s="4"/>
    </row>
    <row r="52" spans="1:30" x14ac:dyDescent="0.25">
      <c r="A52" s="4"/>
      <c r="B52" s="389"/>
      <c r="C52" s="395" t="s">
        <v>71</v>
      </c>
      <c r="D52" s="396">
        <v>645.78499999999997</v>
      </c>
      <c r="E52" s="396">
        <v>480.68299999999999</v>
      </c>
      <c r="F52" s="396">
        <v>518.34400000000005</v>
      </c>
      <c r="G52" s="397">
        <f t="shared" si="24"/>
        <v>608.1239999999998</v>
      </c>
      <c r="H52" s="377"/>
      <c r="I52" s="4"/>
      <c r="J52" s="396">
        <v>434.4</v>
      </c>
      <c r="K52" s="396">
        <v>600</v>
      </c>
      <c r="L52" s="396">
        <v>720</v>
      </c>
      <c r="M52" s="397">
        <f t="shared" si="25"/>
        <v>314.40000000000009</v>
      </c>
      <c r="N52" s="4"/>
      <c r="O52" s="4"/>
      <c r="P52" s="396">
        <v>608.12400000000002</v>
      </c>
      <c r="Q52" s="396">
        <v>242.07</v>
      </c>
      <c r="R52" s="396">
        <v>279.38799999999998</v>
      </c>
      <c r="S52" s="397">
        <f t="shared" si="26"/>
        <v>570.80600000000004</v>
      </c>
      <c r="T52" s="4"/>
      <c r="U52" s="4"/>
      <c r="V52" s="396">
        <v>600</v>
      </c>
      <c r="W52" s="396">
        <v>480</v>
      </c>
      <c r="X52" s="396">
        <v>720</v>
      </c>
      <c r="Y52" s="397">
        <f t="shared" si="27"/>
        <v>360</v>
      </c>
      <c r="Z52" s="4"/>
      <c r="AA52" s="4"/>
      <c r="AB52" s="4"/>
      <c r="AC52" s="4"/>
      <c r="AD52" s="4"/>
    </row>
    <row r="53" spans="1:30" x14ac:dyDescent="0.25">
      <c r="A53" s="4"/>
      <c r="B53" s="389"/>
      <c r="C53" s="395" t="s">
        <v>88</v>
      </c>
      <c r="D53" s="396">
        <v>75.262</v>
      </c>
      <c r="E53" s="396">
        <v>30</v>
      </c>
      <c r="F53" s="396">
        <v>2.8620000000000001</v>
      </c>
      <c r="G53" s="397">
        <f t="shared" si="24"/>
        <v>102.4</v>
      </c>
      <c r="H53" s="377"/>
      <c r="I53" s="4"/>
      <c r="J53" s="396">
        <v>95.3</v>
      </c>
      <c r="K53" s="396">
        <v>0</v>
      </c>
      <c r="L53" s="396">
        <v>10</v>
      </c>
      <c r="M53" s="397">
        <f t="shared" si="25"/>
        <v>85.3</v>
      </c>
      <c r="N53" s="4"/>
      <c r="O53" s="4"/>
      <c r="P53" s="396">
        <v>102.4</v>
      </c>
      <c r="Q53" s="396">
        <v>24</v>
      </c>
      <c r="R53" s="396">
        <v>0</v>
      </c>
      <c r="S53" s="397">
        <f t="shared" si="26"/>
        <v>126.4</v>
      </c>
      <c r="T53" s="4"/>
      <c r="U53" s="4"/>
      <c r="V53" s="396">
        <v>95</v>
      </c>
      <c r="W53" s="396">
        <v>0</v>
      </c>
      <c r="X53" s="396">
        <v>10</v>
      </c>
      <c r="Y53" s="397">
        <f t="shared" si="27"/>
        <v>85</v>
      </c>
      <c r="Z53" s="4"/>
      <c r="AA53" s="4"/>
      <c r="AB53" s="4"/>
      <c r="AC53" s="4"/>
      <c r="AD53" s="4"/>
    </row>
    <row r="54" spans="1:30" x14ac:dyDescent="0.25">
      <c r="A54" s="4"/>
      <c r="B54" s="389"/>
      <c r="C54" s="398" t="s">
        <v>89</v>
      </c>
      <c r="D54" s="396">
        <v>872.99199999999996</v>
      </c>
      <c r="E54" s="396">
        <v>690.59900000000005</v>
      </c>
      <c r="F54" s="396">
        <v>953.59199999999998</v>
      </c>
      <c r="G54" s="397">
        <f t="shared" si="24"/>
        <v>609.99899999999991</v>
      </c>
      <c r="H54" s="377"/>
      <c r="I54" s="4"/>
      <c r="J54" s="396">
        <v>513</v>
      </c>
      <c r="K54" s="396">
        <v>672</v>
      </c>
      <c r="L54" s="396">
        <v>940</v>
      </c>
      <c r="M54" s="397">
        <f t="shared" si="25"/>
        <v>245</v>
      </c>
      <c r="N54" s="4"/>
      <c r="O54" s="4"/>
      <c r="P54" s="396">
        <v>609.99900000000002</v>
      </c>
      <c r="Q54" s="396">
        <v>332.75099999999998</v>
      </c>
      <c r="R54" s="396">
        <v>383.66300000000001</v>
      </c>
      <c r="S54" s="397">
        <f t="shared" si="26"/>
        <v>559.08699999999999</v>
      </c>
      <c r="T54" s="4"/>
      <c r="U54" s="4"/>
      <c r="V54" s="396">
        <v>400</v>
      </c>
      <c r="W54" s="396">
        <v>350</v>
      </c>
      <c r="X54" s="396">
        <v>610</v>
      </c>
      <c r="Y54" s="397">
        <f t="shared" si="27"/>
        <v>140</v>
      </c>
      <c r="Z54" s="4"/>
      <c r="AA54" s="4"/>
      <c r="AB54" s="4"/>
      <c r="AC54" s="4"/>
      <c r="AD54" s="4"/>
    </row>
    <row r="55" spans="1:30" ht="10.5" customHeight="1" x14ac:dyDescent="0.25">
      <c r="A55" s="4"/>
      <c r="B55" s="389"/>
      <c r="C55" s="375"/>
      <c r="D55" s="377"/>
      <c r="E55" s="377"/>
      <c r="F55" s="377"/>
      <c r="G55" s="377"/>
      <c r="H55" s="37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4"/>
      <c r="B56" s="389"/>
      <c r="C56" s="393" t="s">
        <v>74</v>
      </c>
      <c r="D56" s="394" t="s">
        <v>75</v>
      </c>
      <c r="E56" s="394" t="s">
        <v>96</v>
      </c>
      <c r="F56" s="377"/>
      <c r="G56" s="377"/>
      <c r="H56" s="377"/>
      <c r="I56" s="381"/>
      <c r="J56" s="394" t="s">
        <v>97</v>
      </c>
      <c r="K56" s="377"/>
      <c r="L56" s="377"/>
      <c r="M56" s="377"/>
      <c r="N56" s="377"/>
      <c r="O56" s="381"/>
      <c r="P56" s="394" t="s">
        <v>98</v>
      </c>
      <c r="Q56" s="381"/>
      <c r="R56" s="381"/>
      <c r="S56" s="381"/>
      <c r="T56" s="381"/>
      <c r="U56" s="381"/>
      <c r="V56" s="394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4"/>
      <c r="B57" s="389"/>
      <c r="C57" s="395"/>
      <c r="D57" s="399">
        <v>71</v>
      </c>
      <c r="E57" s="399">
        <v>72</v>
      </c>
      <c r="F57" s="377"/>
      <c r="G57" s="377"/>
      <c r="H57" s="377"/>
      <c r="I57" s="381"/>
      <c r="J57" s="399">
        <v>71</v>
      </c>
      <c r="K57" s="377"/>
      <c r="L57" s="377"/>
      <c r="M57" s="377"/>
      <c r="N57" s="377"/>
      <c r="O57" s="381"/>
      <c r="P57" s="399">
        <v>70</v>
      </c>
      <c r="Q57" s="381"/>
      <c r="R57" s="381"/>
      <c r="S57" s="381"/>
      <c r="T57" s="381"/>
      <c r="U57" s="381"/>
      <c r="V57" s="399">
        <v>71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4"/>
      <c r="B58" s="389"/>
      <c r="C58" s="375"/>
      <c r="D58" s="377"/>
      <c r="E58" s="377"/>
      <c r="F58" s="377"/>
      <c r="G58" s="377"/>
      <c r="H58" s="377"/>
      <c r="I58" s="381"/>
      <c r="J58" s="377"/>
      <c r="K58" s="377"/>
      <c r="L58" s="377"/>
      <c r="M58" s="377"/>
      <c r="N58" s="377"/>
      <c r="O58" s="381"/>
      <c r="P58" s="381"/>
      <c r="Q58" s="381"/>
      <c r="R58" s="381"/>
      <c r="S58" s="381"/>
      <c r="T58" s="381"/>
      <c r="U58" s="381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4"/>
      <c r="B59" s="400" t="s">
        <v>92</v>
      </c>
      <c r="C59" s="401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3"/>
      <c r="W59" s="403"/>
      <c r="X59" s="403"/>
      <c r="Y59" s="403"/>
      <c r="Z59" s="403"/>
      <c r="AA59" s="403"/>
      <c r="AB59" s="404"/>
      <c r="AC59" s="4"/>
      <c r="AD59" s="4"/>
    </row>
    <row r="60" spans="1:30" x14ac:dyDescent="0.25">
      <c r="A60" s="4"/>
      <c r="B60" s="504" t="s">
        <v>258</v>
      </c>
      <c r="M60"/>
      <c r="AB60" s="407"/>
      <c r="AC60" s="4"/>
      <c r="AD60" s="4"/>
    </row>
    <row r="61" spans="1:30" x14ac:dyDescent="0.25">
      <c r="A61" s="4"/>
      <c r="B61" s="512" t="s">
        <v>259</v>
      </c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2"/>
      <c r="S61" s="242"/>
      <c r="T61" s="242"/>
      <c r="U61" s="242"/>
      <c r="AB61" s="407"/>
      <c r="AC61" s="4"/>
      <c r="AD61" s="4"/>
    </row>
    <row r="62" spans="1:30" x14ac:dyDescent="0.25">
      <c r="A62" s="4"/>
      <c r="B62" s="512" t="s">
        <v>260</v>
      </c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AB62" s="407"/>
      <c r="AC62" s="4"/>
      <c r="AD62" s="4"/>
    </row>
    <row r="63" spans="1:30" x14ac:dyDescent="0.25">
      <c r="A63" s="4"/>
      <c r="B63" s="408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AB63" s="407"/>
      <c r="AC63" s="4"/>
      <c r="AD63" s="4"/>
    </row>
    <row r="64" spans="1:30" x14ac:dyDescent="0.25">
      <c r="A64" s="4"/>
      <c r="B64" s="41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AB64" s="407"/>
      <c r="AC64" s="4"/>
      <c r="AD64" s="4"/>
    </row>
    <row r="65" spans="1:30" x14ac:dyDescent="0.25">
      <c r="A65" s="4"/>
      <c r="B65" s="41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AB65" s="407"/>
      <c r="AC65" s="4"/>
      <c r="AD65" s="4"/>
    </row>
    <row r="66" spans="1:30" x14ac:dyDescent="0.25">
      <c r="A66" s="4"/>
      <c r="B66" s="41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AB66" s="407"/>
      <c r="AC66" s="4"/>
      <c r="AD66" s="4"/>
    </row>
    <row r="67" spans="1:30" x14ac:dyDescent="0.25">
      <c r="A67" s="4"/>
      <c r="B67" s="41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AB67" s="407"/>
      <c r="AC67" s="4"/>
      <c r="AD67" s="4"/>
    </row>
    <row r="68" spans="1:30" x14ac:dyDescent="0.25">
      <c r="A68" s="4"/>
      <c r="B68" s="41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AB68" s="407"/>
      <c r="AC68" s="4"/>
      <c r="AD68" s="4"/>
    </row>
    <row r="69" spans="1:30" x14ac:dyDescent="0.25">
      <c r="A69" s="4"/>
      <c r="B69" s="41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AB69" s="407"/>
      <c r="AC69" s="4"/>
      <c r="AD69" s="4"/>
    </row>
    <row r="70" spans="1:30" x14ac:dyDescent="0.25">
      <c r="A70" s="4"/>
      <c r="B70" s="41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AB70" s="407"/>
      <c r="AC70" s="4"/>
      <c r="AD70" s="4"/>
    </row>
    <row r="71" spans="1:30" x14ac:dyDescent="0.25">
      <c r="A71" s="4"/>
      <c r="B71" s="41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AB71" s="407"/>
      <c r="AC71" s="4"/>
      <c r="AD71" s="4"/>
    </row>
    <row r="72" spans="1:30" x14ac:dyDescent="0.25">
      <c r="A72" s="4"/>
      <c r="B72" s="41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AB72" s="407"/>
      <c r="AC72" s="4"/>
      <c r="AD72" s="4"/>
    </row>
    <row r="73" spans="1:30" x14ac:dyDescent="0.25">
      <c r="A73" s="4"/>
      <c r="B73" s="41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AB73" s="407"/>
      <c r="AC73" s="4"/>
      <c r="AD73" s="4"/>
    </row>
    <row r="74" spans="1:30" x14ac:dyDescent="0.25">
      <c r="A74" s="4"/>
      <c r="B74" s="41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AB74" s="407"/>
      <c r="AC74" s="4"/>
      <c r="AD74" s="4"/>
    </row>
    <row r="75" spans="1:30" x14ac:dyDescent="0.25">
      <c r="A75" s="4"/>
      <c r="B75" s="41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AB75" s="407"/>
      <c r="AC75" s="4"/>
      <c r="AD75" s="4"/>
    </row>
    <row r="76" spans="1:30" x14ac:dyDescent="0.25">
      <c r="A76" s="4"/>
      <c r="B76" s="41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AB76" s="407"/>
      <c r="AC76" s="4"/>
      <c r="AD76" s="4"/>
    </row>
    <row r="77" spans="1:30" x14ac:dyDescent="0.25">
      <c r="A77" s="4"/>
      <c r="B77" s="41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AB77" s="407"/>
      <c r="AC77" s="4"/>
      <c r="AD77" s="4"/>
    </row>
    <row r="78" spans="1:30" x14ac:dyDescent="0.25">
      <c r="A78" s="4"/>
      <c r="B78" s="41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AB78" s="407"/>
      <c r="AC78" s="4"/>
      <c r="AD78" s="4"/>
    </row>
    <row r="79" spans="1:30" x14ac:dyDescent="0.25">
      <c r="A79" s="4"/>
      <c r="B79" s="41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AB79" s="407"/>
      <c r="AC79" s="4"/>
      <c r="AD79" s="4"/>
    </row>
    <row r="80" spans="1:30" x14ac:dyDescent="0.25">
      <c r="A80" s="4"/>
      <c r="B80" s="41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AB80" s="407"/>
      <c r="AC80" s="4"/>
      <c r="AD80" s="4"/>
    </row>
    <row r="81" spans="1:30" x14ac:dyDescent="0.25">
      <c r="A81" s="4"/>
      <c r="B81" s="41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AB81" s="407"/>
      <c r="AC81" s="4"/>
      <c r="AD81" s="4"/>
    </row>
    <row r="82" spans="1:30" x14ac:dyDescent="0.25">
      <c r="A82" s="4"/>
      <c r="B82" s="408"/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AB82" s="407"/>
      <c r="AC82" s="4"/>
      <c r="AD82" s="4"/>
    </row>
    <row r="83" spans="1:30" x14ac:dyDescent="0.25">
      <c r="A83" s="4"/>
      <c r="B83" s="411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AB83" s="407"/>
      <c r="AC83" s="4"/>
      <c r="AD83" s="4"/>
    </row>
    <row r="84" spans="1:30" x14ac:dyDescent="0.25">
      <c r="A84" s="4"/>
      <c r="B84" s="411"/>
      <c r="C84" s="412"/>
      <c r="D84" s="412"/>
      <c r="E84" s="412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AB84" s="407"/>
      <c r="AC84" s="4"/>
      <c r="AD84" s="4"/>
    </row>
    <row r="85" spans="1:30" x14ac:dyDescent="0.25">
      <c r="A85" s="4"/>
      <c r="B85" s="411"/>
      <c r="C85" s="413"/>
      <c r="D85" s="412"/>
      <c r="E85" s="412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AB85" s="407"/>
      <c r="AC85" s="4"/>
      <c r="AD85" s="4"/>
    </row>
    <row r="86" spans="1:30" x14ac:dyDescent="0.25">
      <c r="A86" s="4"/>
      <c r="B86" s="411"/>
      <c r="C86" s="413"/>
      <c r="D86" s="412"/>
      <c r="E86" s="412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AB86" s="407"/>
      <c r="AC86" s="4"/>
      <c r="AD86" s="4"/>
    </row>
    <row r="87" spans="1:30" x14ac:dyDescent="0.25">
      <c r="A87" s="4"/>
      <c r="B87" s="414"/>
      <c r="C87" s="415"/>
      <c r="D87" s="416"/>
      <c r="E87" s="416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06"/>
      <c r="W87" s="406"/>
      <c r="X87" s="406"/>
      <c r="Y87" s="406"/>
      <c r="Z87" s="406"/>
      <c r="AA87" s="406"/>
      <c r="AB87" s="418"/>
      <c r="AC87" s="4"/>
      <c r="AD87" s="4"/>
    </row>
    <row r="88" spans="1:30" x14ac:dyDescent="0.25">
      <c r="A88" s="4"/>
      <c r="B88" s="419"/>
      <c r="C88" s="420"/>
      <c r="D88" s="419"/>
      <c r="E88" s="419"/>
      <c r="F88" s="421"/>
      <c r="G88" s="421"/>
      <c r="H88" s="421"/>
      <c r="I88" s="421"/>
      <c r="J88" s="421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4"/>
      <c r="B89" s="419"/>
      <c r="C89" s="420"/>
      <c r="D89" s="419"/>
      <c r="E89" s="419"/>
      <c r="F89" s="421"/>
      <c r="G89" s="421"/>
      <c r="H89" s="421"/>
      <c r="I89" s="421"/>
      <c r="J89" s="421"/>
      <c r="K89" s="421"/>
      <c r="L89" s="421"/>
      <c r="M89" s="421"/>
      <c r="N89" s="421"/>
      <c r="O89" s="421"/>
      <c r="P89" s="421"/>
      <c r="Q89" s="421"/>
      <c r="R89" s="421"/>
      <c r="S89" s="421"/>
      <c r="T89" s="421"/>
      <c r="U89" s="421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4"/>
      <c r="B90" s="422"/>
      <c r="C90" s="422"/>
      <c r="D90" s="422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4"/>
      <c r="B91" s="422" t="s">
        <v>80</v>
      </c>
      <c r="C91" s="423">
        <v>45208</v>
      </c>
      <c r="D91" s="422" t="s">
        <v>76</v>
      </c>
      <c r="E91" s="409" t="s">
        <v>261</v>
      </c>
      <c r="F91" s="409"/>
      <c r="G91" s="409"/>
      <c r="H91" s="422"/>
      <c r="I91" s="422" t="s">
        <v>77</v>
      </c>
      <c r="J91" s="424" t="s">
        <v>262</v>
      </c>
      <c r="K91" s="424"/>
      <c r="L91" s="424"/>
      <c r="M91" s="424"/>
      <c r="N91" s="422"/>
      <c r="O91" s="422"/>
      <c r="P91" s="422"/>
      <c r="Q91" s="422"/>
      <c r="R91" s="422"/>
      <c r="S91" s="422"/>
      <c r="T91" s="422"/>
      <c r="U91" s="422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4"/>
      <c r="B92" s="422"/>
      <c r="C92" s="422"/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2"/>
      <c r="R92" s="422"/>
      <c r="S92" s="422"/>
      <c r="T92" s="422"/>
      <c r="U92" s="422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4"/>
      <c r="B93" s="422"/>
      <c r="C93" s="422"/>
      <c r="D93" s="422" t="s">
        <v>79</v>
      </c>
      <c r="E93" s="425"/>
      <c r="F93" s="425"/>
      <c r="G93" s="425"/>
      <c r="H93" s="422"/>
      <c r="I93" s="422" t="s">
        <v>79</v>
      </c>
      <c r="J93" s="426"/>
      <c r="K93" s="426"/>
      <c r="L93" s="426"/>
      <c r="M93" s="426"/>
      <c r="N93" s="422"/>
      <c r="O93" s="422"/>
      <c r="P93" s="422"/>
      <c r="Q93" s="422"/>
      <c r="R93" s="422"/>
      <c r="S93" s="422"/>
      <c r="T93" s="422"/>
      <c r="U93" s="422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4"/>
      <c r="B94" s="422"/>
      <c r="C94" s="422"/>
      <c r="D94" s="422"/>
      <c r="E94" s="425"/>
      <c r="F94" s="425"/>
      <c r="G94" s="425"/>
      <c r="H94" s="422"/>
      <c r="I94" s="422"/>
      <c r="J94" s="426"/>
      <c r="K94" s="426"/>
      <c r="L94" s="426"/>
      <c r="M94" s="426"/>
      <c r="N94" s="422"/>
      <c r="O94" s="422"/>
      <c r="P94" s="422"/>
      <c r="Q94" s="422"/>
      <c r="R94" s="422"/>
      <c r="S94" s="422"/>
      <c r="T94" s="422"/>
      <c r="U94" s="422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4"/>
      <c r="B95" s="422"/>
      <c r="C95" s="422"/>
      <c r="D95" s="422"/>
      <c r="E95" s="422"/>
      <c r="F95" s="422"/>
      <c r="G95" s="422"/>
      <c r="H95" s="422"/>
      <c r="I95" s="422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4"/>
      <c r="B96" s="422"/>
      <c r="C96" s="422"/>
      <c r="D96" s="422"/>
      <c r="E96" s="422"/>
      <c r="F96" s="422"/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"/>
      <c r="W96" s="4"/>
      <c r="X96" s="4"/>
      <c r="Y96" s="4"/>
      <c r="Z96" s="4"/>
      <c r="AA96" s="4"/>
      <c r="AB96" s="4"/>
      <c r="AC96" s="4"/>
      <c r="AD96" s="4"/>
    </row>
    <row r="113" ht="15" hidden="1" customHeight="1" x14ac:dyDescent="0.25"/>
    <row r="127" ht="15" hidden="1" customHeight="1" x14ac:dyDescent="0.25"/>
    <row r="128" ht="15" hidden="1" customHeight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11" priority="3" operator="equal">
      <formula>0</formula>
    </cfRule>
    <cfRule type="containsErrors" dxfId="10" priority="4">
      <formula>ISERROR(AB15)</formula>
    </cfRule>
  </conditionalFormatting>
  <conditionalFormatting sqref="AB28:AB41">
    <cfRule type="cellIs" dxfId="9" priority="1" operator="equal">
      <formula>0</formula>
    </cfRule>
    <cfRule type="containsErrors" dxfId="8" priority="2">
      <formula>ISERROR(AB28)</formula>
    </cfRule>
  </conditionalFormatting>
  <pageMargins left="0.25" right="0.25" top="0.75" bottom="0.75" header="0.3" footer="0.3"/>
  <pageSetup paperSize="8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opLeftCell="C1" zoomScale="80" zoomScaleNormal="80" zoomScaleSheetLayoutView="80" workbookViewId="0">
      <selection activeCell="V32" sqref="V3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210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46789758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429" t="s">
        <v>211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2398.0120000000002</v>
      </c>
      <c r="G15" s="63">
        <f>SUM(D15:F15)</f>
        <v>2398.0120000000002</v>
      </c>
      <c r="H15" s="66">
        <v>0</v>
      </c>
      <c r="I15" s="14">
        <f>G15+H15</f>
        <v>2398.0120000000002</v>
      </c>
      <c r="J15" s="430"/>
      <c r="K15" s="431"/>
      <c r="L15" s="432">
        <v>2600</v>
      </c>
      <c r="M15" s="433">
        <f t="shared" ref="M15:M23" si="0">SUM(J15:L15)</f>
        <v>2600</v>
      </c>
      <c r="N15" s="434">
        <v>0</v>
      </c>
      <c r="O15" s="435">
        <f>M15+N15</f>
        <v>2600</v>
      </c>
      <c r="P15" s="12"/>
      <c r="Q15" s="13"/>
      <c r="R15" s="436">
        <v>1551.14</v>
      </c>
      <c r="S15" s="63">
        <f>SUM(P15:R15)</f>
        <v>1551.14</v>
      </c>
      <c r="T15" s="66">
        <v>0</v>
      </c>
      <c r="U15" s="14">
        <f>S15+T15</f>
        <v>1551.14</v>
      </c>
      <c r="V15" s="12"/>
      <c r="W15" s="13"/>
      <c r="X15" s="56">
        <v>2600</v>
      </c>
      <c r="Y15" s="63">
        <f>SUM(V15:X15)</f>
        <v>2600</v>
      </c>
      <c r="Z15" s="66">
        <v>0</v>
      </c>
      <c r="AA15" s="14">
        <f>Y15+Z15</f>
        <v>2600</v>
      </c>
      <c r="AB15" s="147">
        <f>(AA15/O15)</f>
        <v>1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5396.2219999999998</v>
      </c>
      <c r="E16" s="609" t="s">
        <v>87</v>
      </c>
      <c r="F16" s="16"/>
      <c r="G16" s="64">
        <f t="shared" ref="G16:G23" si="1">SUM(D16:F16)</f>
        <v>5396.2219999999998</v>
      </c>
      <c r="H16" s="67"/>
      <c r="I16" s="14">
        <f t="shared" ref="I16:I23" si="2">G16+H16</f>
        <v>5396.2219999999998</v>
      </c>
      <c r="J16" s="437">
        <v>5201.6000000000004</v>
      </c>
      <c r="K16" s="610" t="s">
        <v>87</v>
      </c>
      <c r="L16" s="438"/>
      <c r="M16" s="439">
        <f t="shared" si="0"/>
        <v>5201.6000000000004</v>
      </c>
      <c r="N16" s="440"/>
      <c r="O16" s="435">
        <f t="shared" ref="O16:O20" si="3">M16+N16</f>
        <v>5201.6000000000004</v>
      </c>
      <c r="P16" s="57">
        <v>2601</v>
      </c>
      <c r="Q16" s="609" t="s">
        <v>87</v>
      </c>
      <c r="R16" s="16"/>
      <c r="S16" s="64">
        <f t="shared" ref="S16:S23" si="4">SUM(P16:R16)</f>
        <v>2601</v>
      </c>
      <c r="T16" s="67"/>
      <c r="U16" s="14">
        <f t="shared" ref="U16:U20" si="5">S16+T16</f>
        <v>2601</v>
      </c>
      <c r="V16" s="57">
        <v>5300</v>
      </c>
      <c r="W16" s="609" t="s">
        <v>87</v>
      </c>
      <c r="X16" s="16"/>
      <c r="Y16" s="64">
        <f t="shared" ref="Y16:Y23" si="6">SUM(V16:X16)</f>
        <v>5300</v>
      </c>
      <c r="Z16" s="67"/>
      <c r="AA16" s="14">
        <f t="shared" ref="AA16:AA20" si="7">Y16+Z16</f>
        <v>5300</v>
      </c>
      <c r="AB16" s="147">
        <f t="shared" ref="AB16:AB24" si="8">(AA16/O16)</f>
        <v>1.0189172562288527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>
        <v>1013.2619999999999</v>
      </c>
      <c r="E17" s="17">
        <v>0</v>
      </c>
      <c r="F17" s="17"/>
      <c r="G17" s="64">
        <f t="shared" si="1"/>
        <v>1013.2619999999999</v>
      </c>
      <c r="H17" s="68"/>
      <c r="I17" s="14">
        <f t="shared" si="2"/>
        <v>1013.2619999999999</v>
      </c>
      <c r="J17" s="442">
        <v>259.10000000000002</v>
      </c>
      <c r="K17" s="443">
        <v>0</v>
      </c>
      <c r="L17" s="443"/>
      <c r="M17" s="439">
        <f t="shared" si="0"/>
        <v>259.10000000000002</v>
      </c>
      <c r="N17" s="444"/>
      <c r="O17" s="435">
        <f t="shared" si="3"/>
        <v>259.10000000000002</v>
      </c>
      <c r="P17" s="58">
        <v>259.10000000000002</v>
      </c>
      <c r="Q17" s="17">
        <v>0</v>
      </c>
      <c r="R17" s="17"/>
      <c r="S17" s="64">
        <f t="shared" si="4"/>
        <v>259.10000000000002</v>
      </c>
      <c r="T17" s="68"/>
      <c r="U17" s="14">
        <f t="shared" si="5"/>
        <v>259.10000000000002</v>
      </c>
      <c r="V17" s="58">
        <v>454.8</v>
      </c>
      <c r="W17" s="17">
        <v>0</v>
      </c>
      <c r="X17" s="17"/>
      <c r="Y17" s="64">
        <f t="shared" si="6"/>
        <v>454.8</v>
      </c>
      <c r="Z17" s="68"/>
      <c r="AA17" s="14">
        <f t="shared" si="7"/>
        <v>454.8</v>
      </c>
      <c r="AB17" s="147">
        <f t="shared" si="8"/>
        <v>1.7553068313392513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611">
        <v>41471.599999999999</v>
      </c>
      <c r="F18" s="17"/>
      <c r="G18" s="64">
        <f t="shared" si="1"/>
        <v>41471.599999999999</v>
      </c>
      <c r="H18" s="66"/>
      <c r="I18" s="14">
        <f t="shared" si="2"/>
        <v>41471.599999999999</v>
      </c>
      <c r="J18" s="445"/>
      <c r="K18" s="612">
        <v>45939.87</v>
      </c>
      <c r="L18" s="443"/>
      <c r="M18" s="439">
        <f t="shared" si="0"/>
        <v>45939.87</v>
      </c>
      <c r="N18" s="434"/>
      <c r="O18" s="435">
        <f t="shared" si="3"/>
        <v>45939.87</v>
      </c>
      <c r="P18" s="18"/>
      <c r="Q18" s="611">
        <v>24391.9</v>
      </c>
      <c r="R18" s="17"/>
      <c r="S18" s="64">
        <f t="shared" si="4"/>
        <v>24391.9</v>
      </c>
      <c r="T18" s="66"/>
      <c r="U18" s="14">
        <f t="shared" si="5"/>
        <v>24391.9</v>
      </c>
      <c r="V18" s="18"/>
      <c r="W18" s="611">
        <v>48100</v>
      </c>
      <c r="X18" s="17"/>
      <c r="Y18" s="64">
        <f t="shared" si="6"/>
        <v>48100</v>
      </c>
      <c r="Z18" s="66"/>
      <c r="AA18" s="14">
        <f t="shared" si="7"/>
        <v>48100</v>
      </c>
      <c r="AB18" s="147">
        <f t="shared" si="8"/>
        <v>1.0470208122051716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/>
      <c r="G19" s="64">
        <f t="shared" si="1"/>
        <v>0</v>
      </c>
      <c r="H19" s="69"/>
      <c r="I19" s="14">
        <f t="shared" si="2"/>
        <v>0</v>
      </c>
      <c r="J19" s="447">
        <v>900.4</v>
      </c>
      <c r="K19" s="443"/>
      <c r="L19" s="448"/>
      <c r="M19" s="439">
        <f t="shared" si="0"/>
        <v>900.4</v>
      </c>
      <c r="N19" s="449"/>
      <c r="O19" s="435">
        <f t="shared" si="3"/>
        <v>900.4</v>
      </c>
      <c r="P19" s="19">
        <v>450.2</v>
      </c>
      <c r="Q19" s="17"/>
      <c r="R19" s="60"/>
      <c r="S19" s="64">
        <f t="shared" si="4"/>
        <v>450.2</v>
      </c>
      <c r="T19" s="69"/>
      <c r="U19" s="14">
        <f t="shared" si="5"/>
        <v>450.2</v>
      </c>
      <c r="V19" s="19">
        <v>900.4</v>
      </c>
      <c r="W19" s="17"/>
      <c r="X19" s="60"/>
      <c r="Y19" s="64">
        <f t="shared" si="6"/>
        <v>900.4</v>
      </c>
      <c r="Z19" s="69"/>
      <c r="AA19" s="14">
        <f t="shared" si="7"/>
        <v>900.4</v>
      </c>
      <c r="AB19" s="147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/>
      <c r="G20" s="64"/>
      <c r="H20" s="69"/>
      <c r="I20" s="14">
        <f t="shared" si="2"/>
        <v>0</v>
      </c>
      <c r="J20" s="445"/>
      <c r="K20" s="438"/>
      <c r="L20" s="450">
        <v>100</v>
      </c>
      <c r="M20" s="439">
        <f t="shared" si="0"/>
        <v>100</v>
      </c>
      <c r="N20" s="449"/>
      <c r="O20" s="435">
        <f t="shared" si="3"/>
        <v>100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61">
        <v>100</v>
      </c>
      <c r="Y20" s="64">
        <f t="shared" si="6"/>
        <v>100</v>
      </c>
      <c r="Z20" s="69"/>
      <c r="AA20" s="14">
        <f t="shared" si="7"/>
        <v>100</v>
      </c>
      <c r="AB20" s="147">
        <f t="shared" si="8"/>
        <v>1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456.49900000000002</v>
      </c>
      <c r="G21" s="64">
        <f t="shared" si="1"/>
        <v>456.49900000000002</v>
      </c>
      <c r="H21" s="70">
        <v>396.47500000000002</v>
      </c>
      <c r="I21" s="14">
        <f>G21+H21</f>
        <v>852.97400000000005</v>
      </c>
      <c r="J21" s="445"/>
      <c r="K21" s="438"/>
      <c r="L21" s="450"/>
      <c r="M21" s="439">
        <f t="shared" si="0"/>
        <v>0</v>
      </c>
      <c r="N21" s="451">
        <v>350</v>
      </c>
      <c r="O21" s="435">
        <f>M21+N21</f>
        <v>350</v>
      </c>
      <c r="P21" s="18"/>
      <c r="Q21" s="16"/>
      <c r="R21" s="61">
        <v>130.73599999999999</v>
      </c>
      <c r="S21" s="64">
        <f t="shared" si="4"/>
        <v>130.73599999999999</v>
      </c>
      <c r="T21" s="70">
        <v>262.327</v>
      </c>
      <c r="U21" s="14">
        <f>S21+T21</f>
        <v>393.06299999999999</v>
      </c>
      <c r="V21" s="18"/>
      <c r="W21" s="16"/>
      <c r="X21" s="61"/>
      <c r="Y21" s="64">
        <f t="shared" si="6"/>
        <v>0</v>
      </c>
      <c r="Z21" s="70">
        <v>400</v>
      </c>
      <c r="AA21" s="14">
        <f>Y21+Z21</f>
        <v>400</v>
      </c>
      <c r="AB21" s="147">
        <f t="shared" si="8"/>
        <v>1.1428571428571428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445"/>
      <c r="K22" s="438"/>
      <c r="L22" s="450"/>
      <c r="M22" s="439">
        <f t="shared" si="0"/>
        <v>0</v>
      </c>
      <c r="N22" s="451">
        <v>350</v>
      </c>
      <c r="O22" s="435">
        <f t="shared" ref="O22:O23" si="9">M22+N22</f>
        <v>350</v>
      </c>
      <c r="P22" s="18"/>
      <c r="Q22" s="16"/>
      <c r="R22" s="61"/>
      <c r="S22" s="64">
        <f t="shared" si="4"/>
        <v>0</v>
      </c>
      <c r="T22" s="70">
        <v>262.3</v>
      </c>
      <c r="U22" s="14">
        <f t="shared" ref="U22:U23" si="10">S22+T22</f>
        <v>262.3</v>
      </c>
      <c r="V22" s="18"/>
      <c r="W22" s="16"/>
      <c r="X22" s="61"/>
      <c r="Y22" s="64">
        <f t="shared" si="6"/>
        <v>0</v>
      </c>
      <c r="Z22" s="70">
        <v>400</v>
      </c>
      <c r="AA22" s="14">
        <f t="shared" ref="AA22:AA23" si="11">Y22+Z22</f>
        <v>400</v>
      </c>
      <c r="AB22" s="147">
        <f t="shared" si="8"/>
        <v>1.1428571428571428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/>
      <c r="G23" s="65">
        <f t="shared" si="1"/>
        <v>0</v>
      </c>
      <c r="H23" s="71"/>
      <c r="I23" s="23">
        <f t="shared" si="2"/>
        <v>0</v>
      </c>
      <c r="J23" s="452"/>
      <c r="K23" s="453"/>
      <c r="L23" s="454"/>
      <c r="M23" s="455">
        <f t="shared" si="0"/>
        <v>0</v>
      </c>
      <c r="N23" s="456"/>
      <c r="O23" s="457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/>
      <c r="Y23" s="65">
        <f t="shared" si="6"/>
        <v>0</v>
      </c>
      <c r="Z23" s="71"/>
      <c r="AA23" s="23">
        <f t="shared" si="11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6409.4839999999995</v>
      </c>
      <c r="E24" s="27">
        <f>SUM(E15:E21)</f>
        <v>41471.599999999999</v>
      </c>
      <c r="F24" s="27">
        <f>SUM(F15:F21)</f>
        <v>2854.5110000000004</v>
      </c>
      <c r="G24" s="28">
        <f>SUM(D24:F24)</f>
        <v>50735.594999999994</v>
      </c>
      <c r="H24" s="29">
        <f>SUM(H15:H21)</f>
        <v>396.47500000000002</v>
      </c>
      <c r="I24" s="29">
        <f>SUM(I15:I21)</f>
        <v>51132.07</v>
      </c>
      <c r="J24" s="458">
        <f>SUM(J15:J21)</f>
        <v>6361.1</v>
      </c>
      <c r="K24" s="459">
        <f>SUM(K15:K21)</f>
        <v>45939.87</v>
      </c>
      <c r="L24" s="459">
        <f>SUM(L15:L21)</f>
        <v>2700</v>
      </c>
      <c r="M24" s="460">
        <f>SUM(J24:L24)</f>
        <v>55000.97</v>
      </c>
      <c r="N24" s="461">
        <f>SUM(N15:N21)</f>
        <v>350</v>
      </c>
      <c r="O24" s="461">
        <f>SUM(O15:O21)</f>
        <v>55350.970000000008</v>
      </c>
      <c r="P24" s="26">
        <f>SUM(P15:P21)</f>
        <v>3310.2999999999997</v>
      </c>
      <c r="Q24" s="27">
        <f>SUM(Q15:Q21)</f>
        <v>24391.9</v>
      </c>
      <c r="R24" s="27">
        <f>SUM(R15:R21)</f>
        <v>1681.8760000000002</v>
      </c>
      <c r="S24" s="28">
        <f>SUM(P24:R24)</f>
        <v>29384.076000000001</v>
      </c>
      <c r="T24" s="29">
        <f>SUM(T15:T21)</f>
        <v>262.327</v>
      </c>
      <c r="U24" s="29">
        <f>SUM(U15:U21)</f>
        <v>29646.403000000002</v>
      </c>
      <c r="V24" s="26">
        <f>SUM(V15:V21)</f>
        <v>6655.2</v>
      </c>
      <c r="W24" s="27">
        <f>SUM(W15:W21)</f>
        <v>48100</v>
      </c>
      <c r="X24" s="27">
        <f>SUM(X15:X21)</f>
        <v>2700</v>
      </c>
      <c r="Y24" s="28">
        <f>SUM(V24:X24)</f>
        <v>57455.199999999997</v>
      </c>
      <c r="Z24" s="29">
        <f>SUM(Z15:Z21)</f>
        <v>400</v>
      </c>
      <c r="AA24" s="29">
        <f>SUM(AA15:AA21)</f>
        <v>57855.200000000004</v>
      </c>
      <c r="AB24" s="151">
        <f t="shared" si="8"/>
        <v>1.045242748230067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462" t="s">
        <v>68</v>
      </c>
      <c r="K25" s="463"/>
      <c r="L25" s="463"/>
      <c r="M25" s="464"/>
      <c r="N25" s="464"/>
      <c r="O25" s="46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466" t="s">
        <v>69</v>
      </c>
      <c r="K26" s="467"/>
      <c r="L26" s="467"/>
      <c r="M26" s="468" t="s">
        <v>64</v>
      </c>
      <c r="N26" s="469" t="s">
        <v>67</v>
      </c>
      <c r="O26" s="470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471" t="s">
        <v>54</v>
      </c>
      <c r="K27" s="472" t="s">
        <v>55</v>
      </c>
      <c r="L27" s="473" t="s">
        <v>56</v>
      </c>
      <c r="M27" s="474"/>
      <c r="N27" s="475"/>
      <c r="O27" s="47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695.96299999999997</v>
      </c>
      <c r="E28" s="72"/>
      <c r="F28" s="72"/>
      <c r="G28" s="73">
        <f>SUM(D28:F28)</f>
        <v>695.96299999999997</v>
      </c>
      <c r="H28" s="73"/>
      <c r="I28" s="37">
        <f>G28+H28</f>
        <v>695.96299999999997</v>
      </c>
      <c r="J28" s="477">
        <v>370</v>
      </c>
      <c r="K28" s="478"/>
      <c r="L28" s="478"/>
      <c r="M28" s="479">
        <f>SUM(J28:L28)</f>
        <v>370</v>
      </c>
      <c r="N28" s="479"/>
      <c r="O28" s="480">
        <f>M28+N28</f>
        <v>370</v>
      </c>
      <c r="P28" s="80">
        <v>68.606999999999999</v>
      </c>
      <c r="Q28" s="72"/>
      <c r="R28" s="72"/>
      <c r="S28" s="73">
        <f>SUM(P28:R28)</f>
        <v>68.606999999999999</v>
      </c>
      <c r="T28" s="73"/>
      <c r="U28" s="37">
        <f>S28+T28</f>
        <v>68.606999999999999</v>
      </c>
      <c r="V28" s="80">
        <v>400</v>
      </c>
      <c r="W28" s="72"/>
      <c r="X28" s="72"/>
      <c r="Y28" s="73">
        <f>SUM(V28:X28)</f>
        <v>400</v>
      </c>
      <c r="Z28" s="73"/>
      <c r="AA28" s="37">
        <f>Y28+Z28</f>
        <v>400</v>
      </c>
      <c r="AB28" s="147">
        <f t="shared" ref="AB28:AB41" si="12">(AA28/O28)</f>
        <v>1.0810810810810811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481">
        <v>651.34</v>
      </c>
      <c r="E29" s="74">
        <v>238.33600000000001</v>
      </c>
      <c r="F29" s="74">
        <v>2336.038</v>
      </c>
      <c r="G29" s="75">
        <f t="shared" ref="G29:G38" si="13">SUM(D29:F29)</f>
        <v>3225.7139999999999</v>
      </c>
      <c r="H29" s="76">
        <v>28.082000000000001</v>
      </c>
      <c r="I29" s="14">
        <f t="shared" ref="I29:I38" si="14">G29+H29</f>
        <v>3253.7959999999998</v>
      </c>
      <c r="J29" s="482">
        <v>340</v>
      </c>
      <c r="K29" s="483">
        <v>20</v>
      </c>
      <c r="L29" s="483">
        <v>2400</v>
      </c>
      <c r="M29" s="484">
        <f t="shared" ref="M29:M38" si="15">SUM(J29:L29)</f>
        <v>2760</v>
      </c>
      <c r="N29" s="485">
        <v>40</v>
      </c>
      <c r="O29" s="435">
        <f t="shared" ref="O29:O38" si="16">M29+N29</f>
        <v>2800</v>
      </c>
      <c r="P29" s="81">
        <v>238.81700000000001</v>
      </c>
      <c r="Q29" s="74">
        <v>138.9</v>
      </c>
      <c r="R29" s="74">
        <v>1501.89</v>
      </c>
      <c r="S29" s="75">
        <f t="shared" ref="S29:S38" si="17">SUM(P29:R29)</f>
        <v>1879.607</v>
      </c>
      <c r="T29" s="76"/>
      <c r="U29" s="14">
        <f t="shared" ref="U29:U38" si="18">S29+T29</f>
        <v>1879.607</v>
      </c>
      <c r="V29" s="81">
        <v>400</v>
      </c>
      <c r="W29" s="74">
        <v>200</v>
      </c>
      <c r="X29" s="74">
        <v>2400</v>
      </c>
      <c r="Y29" s="75">
        <f t="shared" ref="Y29:Y38" si="19">SUM(V29:X29)</f>
        <v>3000</v>
      </c>
      <c r="Z29" s="76">
        <v>60</v>
      </c>
      <c r="AA29" s="14">
        <f t="shared" ref="AA29:AA38" si="20">Y29+Z29</f>
        <v>3060</v>
      </c>
      <c r="AB29" s="147">
        <f t="shared" si="12"/>
        <v>1.0928571428571427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2200.2260000000001</v>
      </c>
      <c r="E30" s="77"/>
      <c r="F30" s="77" t="s">
        <v>87</v>
      </c>
      <c r="G30" s="75">
        <f t="shared" si="13"/>
        <v>2200.2260000000001</v>
      </c>
      <c r="H30" s="75">
        <v>191.47</v>
      </c>
      <c r="I30" s="14">
        <f t="shared" si="14"/>
        <v>2391.6959999999999</v>
      </c>
      <c r="J30" s="486">
        <v>3000</v>
      </c>
      <c r="K30" s="487" t="s">
        <v>87</v>
      </c>
      <c r="L30" s="488"/>
      <c r="M30" s="484">
        <f t="shared" si="15"/>
        <v>3000</v>
      </c>
      <c r="N30" s="484">
        <v>310</v>
      </c>
      <c r="O30" s="435">
        <f t="shared" si="16"/>
        <v>3310</v>
      </c>
      <c r="P30" s="82">
        <v>1461.5</v>
      </c>
      <c r="Q30" s="77"/>
      <c r="R30" s="77"/>
      <c r="S30" s="75">
        <f t="shared" si="17"/>
        <v>1461.5</v>
      </c>
      <c r="T30" s="75"/>
      <c r="U30" s="14">
        <f t="shared" si="18"/>
        <v>1461.5</v>
      </c>
      <c r="V30" s="82">
        <v>3000</v>
      </c>
      <c r="W30" s="77"/>
      <c r="X30" s="77"/>
      <c r="Y30" s="75">
        <f t="shared" si="19"/>
        <v>3000</v>
      </c>
      <c r="Z30" s="75">
        <v>340</v>
      </c>
      <c r="AA30" s="14">
        <f t="shared" si="20"/>
        <v>3340</v>
      </c>
      <c r="AB30" s="147">
        <f t="shared" si="12"/>
        <v>1.0090634441087614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956.23</v>
      </c>
      <c r="E31" s="77">
        <v>137.80000000000001</v>
      </c>
      <c r="F31" s="77">
        <v>55.13</v>
      </c>
      <c r="G31" s="75">
        <f t="shared" si="13"/>
        <v>1149.1600000000001</v>
      </c>
      <c r="H31" s="75">
        <v>21.55</v>
      </c>
      <c r="I31" s="14">
        <f t="shared" si="14"/>
        <v>1170.71</v>
      </c>
      <c r="J31" s="486">
        <v>740</v>
      </c>
      <c r="K31" s="488"/>
      <c r="L31" s="488">
        <v>100</v>
      </c>
      <c r="M31" s="484">
        <f t="shared" si="15"/>
        <v>840</v>
      </c>
      <c r="N31" s="484"/>
      <c r="O31" s="435">
        <f t="shared" si="16"/>
        <v>840</v>
      </c>
      <c r="P31" s="82">
        <v>410.9</v>
      </c>
      <c r="Q31" s="77">
        <v>32.25</v>
      </c>
      <c r="R31" s="77">
        <v>31.93</v>
      </c>
      <c r="S31" s="75">
        <f t="shared" si="17"/>
        <v>475.08</v>
      </c>
      <c r="T31" s="75"/>
      <c r="U31" s="14">
        <f t="shared" si="18"/>
        <v>475.08</v>
      </c>
      <c r="V31" s="82">
        <v>1094.8</v>
      </c>
      <c r="W31" s="77"/>
      <c r="X31" s="77">
        <v>100</v>
      </c>
      <c r="Y31" s="75">
        <f t="shared" si="19"/>
        <v>1194.8</v>
      </c>
      <c r="Z31" s="75"/>
      <c r="AA31" s="14">
        <f t="shared" si="20"/>
        <v>1194.8</v>
      </c>
      <c r="AB31" s="147">
        <f t="shared" si="12"/>
        <v>1.4223809523809523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499" t="s">
        <v>87</v>
      </c>
      <c r="E32" s="77">
        <v>30484.799999999999</v>
      </c>
      <c r="F32" s="77"/>
      <c r="G32" s="75">
        <f t="shared" si="13"/>
        <v>30484.799999999999</v>
      </c>
      <c r="H32" s="75">
        <v>31.55</v>
      </c>
      <c r="I32" s="14">
        <f t="shared" si="14"/>
        <v>30516.35</v>
      </c>
      <c r="J32" s="486">
        <v>176</v>
      </c>
      <c r="K32" s="488">
        <v>31746.37</v>
      </c>
      <c r="L32" s="488"/>
      <c r="M32" s="484">
        <f t="shared" si="15"/>
        <v>31922.37</v>
      </c>
      <c r="N32" s="484"/>
      <c r="O32" s="435">
        <f t="shared" si="16"/>
        <v>31922.37</v>
      </c>
      <c r="P32" s="83"/>
      <c r="Q32" s="77">
        <v>14394.6</v>
      </c>
      <c r="R32" s="77"/>
      <c r="S32" s="75">
        <f t="shared" si="17"/>
        <v>14394.6</v>
      </c>
      <c r="T32" s="75"/>
      <c r="U32" s="14">
        <f t="shared" si="18"/>
        <v>14394.6</v>
      </c>
      <c r="V32" s="83">
        <v>180</v>
      </c>
      <c r="W32" s="77">
        <v>34920</v>
      </c>
      <c r="X32" s="77"/>
      <c r="Y32" s="75">
        <f t="shared" si="19"/>
        <v>35100</v>
      </c>
      <c r="Z32" s="75"/>
      <c r="AA32" s="14">
        <f t="shared" si="20"/>
        <v>35100</v>
      </c>
      <c r="AB32" s="147">
        <f t="shared" si="12"/>
        <v>1.0995424211924114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499" t="s">
        <v>87</v>
      </c>
      <c r="E33" s="77">
        <v>30284.799999999999</v>
      </c>
      <c r="F33" s="77"/>
      <c r="G33" s="75">
        <f t="shared" si="13"/>
        <v>30284.799999999999</v>
      </c>
      <c r="H33" s="75"/>
      <c r="I33" s="14">
        <f t="shared" si="14"/>
        <v>30284.799999999999</v>
      </c>
      <c r="J33" s="486">
        <v>129.6</v>
      </c>
      <c r="K33" s="488">
        <v>31566.295999999998</v>
      </c>
      <c r="L33" s="488"/>
      <c r="M33" s="484">
        <f t="shared" si="15"/>
        <v>31695.895999999997</v>
      </c>
      <c r="N33" s="484"/>
      <c r="O33" s="435">
        <f t="shared" si="16"/>
        <v>31695.895999999997</v>
      </c>
      <c r="P33" s="83"/>
      <c r="Q33" s="77">
        <v>14039.656000000001</v>
      </c>
      <c r="R33" s="77"/>
      <c r="S33" s="75">
        <f t="shared" si="17"/>
        <v>14039.656000000001</v>
      </c>
      <c r="T33" s="75"/>
      <c r="U33" s="14">
        <f t="shared" si="18"/>
        <v>14039.656000000001</v>
      </c>
      <c r="V33" s="83">
        <v>150</v>
      </c>
      <c r="W33" s="77">
        <v>34720</v>
      </c>
      <c r="X33" s="77"/>
      <c r="Y33" s="75">
        <f t="shared" si="19"/>
        <v>34870</v>
      </c>
      <c r="Z33" s="75"/>
      <c r="AA33" s="14">
        <f t="shared" si="20"/>
        <v>34870</v>
      </c>
      <c r="AB33" s="147">
        <f t="shared" si="12"/>
        <v>1.1001424285339656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499" t="s">
        <v>87</v>
      </c>
      <c r="E34" s="77">
        <v>200</v>
      </c>
      <c r="F34" s="77"/>
      <c r="G34" s="75">
        <f t="shared" si="13"/>
        <v>200</v>
      </c>
      <c r="H34" s="75"/>
      <c r="I34" s="14">
        <f t="shared" si="14"/>
        <v>200</v>
      </c>
      <c r="J34" s="486"/>
      <c r="K34" s="488">
        <v>180.1</v>
      </c>
      <c r="L34" s="488"/>
      <c r="M34" s="484">
        <f>SUM(J34:L34)</f>
        <v>180.1</v>
      </c>
      <c r="N34" s="484"/>
      <c r="O34" s="435">
        <f t="shared" si="16"/>
        <v>180.1</v>
      </c>
      <c r="P34" s="83" t="s">
        <v>87</v>
      </c>
      <c r="Q34" s="77">
        <v>176.18</v>
      </c>
      <c r="R34" s="77"/>
      <c r="S34" s="75">
        <f t="shared" si="17"/>
        <v>176.18</v>
      </c>
      <c r="T34" s="75"/>
      <c r="U34" s="14">
        <f t="shared" si="18"/>
        <v>176.18</v>
      </c>
      <c r="V34" s="83" t="s">
        <v>87</v>
      </c>
      <c r="W34" s="77">
        <v>200</v>
      </c>
      <c r="X34" s="77"/>
      <c r="Y34" s="75">
        <f t="shared" si="19"/>
        <v>200</v>
      </c>
      <c r="Z34" s="75"/>
      <c r="AA34" s="14">
        <f t="shared" si="20"/>
        <v>200</v>
      </c>
      <c r="AB34" s="147">
        <f t="shared" si="12"/>
        <v>1.1104941699056081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499">
        <v>44.66</v>
      </c>
      <c r="E35" s="77">
        <v>10163.86</v>
      </c>
      <c r="F35" s="77"/>
      <c r="G35" s="75">
        <f t="shared" si="13"/>
        <v>10208.52</v>
      </c>
      <c r="H35" s="75"/>
      <c r="I35" s="14">
        <f t="shared" si="14"/>
        <v>10208.52</v>
      </c>
      <c r="J35" s="486">
        <v>46.4</v>
      </c>
      <c r="K35" s="488">
        <v>10536.1</v>
      </c>
      <c r="L35" s="488"/>
      <c r="M35" s="484">
        <f t="shared" si="15"/>
        <v>10582.5</v>
      </c>
      <c r="N35" s="484"/>
      <c r="O35" s="435">
        <f t="shared" si="16"/>
        <v>10582.5</v>
      </c>
      <c r="P35" s="83"/>
      <c r="Q35" s="77">
        <v>4759.3</v>
      </c>
      <c r="R35" s="77"/>
      <c r="S35" s="75">
        <f t="shared" si="17"/>
        <v>4759.3</v>
      </c>
      <c r="T35" s="75"/>
      <c r="U35" s="14">
        <f t="shared" si="18"/>
        <v>4759.3</v>
      </c>
      <c r="V35" s="83">
        <v>46</v>
      </c>
      <c r="W35" s="77">
        <v>11600</v>
      </c>
      <c r="X35" s="77"/>
      <c r="Y35" s="75">
        <f t="shared" si="19"/>
        <v>11646</v>
      </c>
      <c r="Z35" s="75"/>
      <c r="AA35" s="14">
        <f t="shared" si="20"/>
        <v>11646</v>
      </c>
      <c r="AB35" s="147">
        <f t="shared" si="12"/>
        <v>1.1004961020552799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 t="s">
        <v>87</v>
      </c>
      <c r="E36" s="77"/>
      <c r="F36" s="77"/>
      <c r="G36" s="75">
        <f t="shared" si="13"/>
        <v>0</v>
      </c>
      <c r="H36" s="75"/>
      <c r="I36" s="14">
        <f t="shared" si="14"/>
        <v>0</v>
      </c>
      <c r="J36" s="486"/>
      <c r="K36" s="488"/>
      <c r="L36" s="488"/>
      <c r="M36" s="484">
        <f t="shared" si="15"/>
        <v>0</v>
      </c>
      <c r="N36" s="484"/>
      <c r="O36" s="435">
        <f t="shared" si="16"/>
        <v>0</v>
      </c>
      <c r="P36" s="82"/>
      <c r="Q36" s="77"/>
      <c r="R36" s="77"/>
      <c r="S36" s="75">
        <f t="shared" si="17"/>
        <v>0</v>
      </c>
      <c r="T36" s="75"/>
      <c r="U36" s="14">
        <f t="shared" si="18"/>
        <v>0</v>
      </c>
      <c r="V36" s="82"/>
      <c r="W36" s="77"/>
      <c r="X36" s="77"/>
      <c r="Y36" s="75">
        <f t="shared" si="19"/>
        <v>0</v>
      </c>
      <c r="Z36" s="75"/>
      <c r="AA36" s="14">
        <f t="shared" si="20"/>
        <v>0</v>
      </c>
      <c r="AB36" s="147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1396.681</v>
      </c>
      <c r="E37" s="77"/>
      <c r="F37" s="77"/>
      <c r="G37" s="75">
        <f t="shared" si="13"/>
        <v>1396.681</v>
      </c>
      <c r="H37" s="75"/>
      <c r="I37" s="14">
        <f t="shared" si="14"/>
        <v>1396.681</v>
      </c>
      <c r="J37" s="486">
        <v>1392.4</v>
      </c>
      <c r="K37" s="488"/>
      <c r="L37" s="488"/>
      <c r="M37" s="484">
        <f t="shared" si="15"/>
        <v>1392.4</v>
      </c>
      <c r="N37" s="484"/>
      <c r="O37" s="435">
        <f t="shared" si="16"/>
        <v>1392.4</v>
      </c>
      <c r="P37" s="82">
        <v>696.3</v>
      </c>
      <c r="Q37" s="77"/>
      <c r="R37" s="77"/>
      <c r="S37" s="75">
        <f t="shared" si="17"/>
        <v>696.3</v>
      </c>
      <c r="T37" s="75"/>
      <c r="U37" s="14">
        <f t="shared" si="18"/>
        <v>696.3</v>
      </c>
      <c r="V37" s="82">
        <v>1392.4</v>
      </c>
      <c r="W37" s="77"/>
      <c r="X37" s="77"/>
      <c r="Y37" s="75">
        <f t="shared" si="19"/>
        <v>1392.4</v>
      </c>
      <c r="Z37" s="75"/>
      <c r="AA37" s="14">
        <f t="shared" si="20"/>
        <v>1392.4</v>
      </c>
      <c r="AB37" s="147">
        <f t="shared" si="12"/>
        <v>1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351">
        <v>332.6</v>
      </c>
      <c r="E38" s="351">
        <v>446.8</v>
      </c>
      <c r="F38" s="78">
        <v>359.6</v>
      </c>
      <c r="G38" s="75">
        <f t="shared" si="13"/>
        <v>1139</v>
      </c>
      <c r="H38" s="79"/>
      <c r="I38" s="23">
        <f t="shared" si="14"/>
        <v>1139</v>
      </c>
      <c r="J38" s="489">
        <v>296.3</v>
      </c>
      <c r="K38" s="490">
        <v>3637.4</v>
      </c>
      <c r="L38" s="490">
        <v>200</v>
      </c>
      <c r="M38" s="491">
        <f t="shared" si="15"/>
        <v>4133.7000000000007</v>
      </c>
      <c r="N38" s="491"/>
      <c r="O38" s="457">
        <f t="shared" si="16"/>
        <v>4133.7000000000007</v>
      </c>
      <c r="P38" s="84">
        <v>250.4</v>
      </c>
      <c r="Q38" s="78">
        <v>519</v>
      </c>
      <c r="R38" s="78"/>
      <c r="S38" s="79">
        <f t="shared" si="17"/>
        <v>769.4</v>
      </c>
      <c r="T38" s="79"/>
      <c r="U38" s="23">
        <f t="shared" si="18"/>
        <v>769.4</v>
      </c>
      <c r="V38" s="84">
        <v>142</v>
      </c>
      <c r="W38" s="78">
        <v>1380</v>
      </c>
      <c r="X38" s="78">
        <v>200</v>
      </c>
      <c r="Y38" s="79">
        <f t="shared" si="19"/>
        <v>1722</v>
      </c>
      <c r="Z38" s="79"/>
      <c r="AA38" s="23">
        <f t="shared" si="20"/>
        <v>1722</v>
      </c>
      <c r="AB38" s="150">
        <f t="shared" si="12"/>
        <v>0.41657594890775812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6277.7000000000007</v>
      </c>
      <c r="E39" s="42">
        <f>SUM(E35:E38)+SUM(E28:E32)</f>
        <v>41471.595999999998</v>
      </c>
      <c r="F39" s="42">
        <f>SUM(F35:F38)+SUM(F28:F32)</f>
        <v>2750.768</v>
      </c>
      <c r="G39" s="146">
        <f>SUM(D39:F39)</f>
        <v>50500.063999999998</v>
      </c>
      <c r="H39" s="43">
        <f>SUM(H28:H32)+SUM(H35:H38)</f>
        <v>272.65199999999999</v>
      </c>
      <c r="I39" s="44">
        <f>SUM(I35:I38)+SUM(I28:I32)</f>
        <v>50772.716</v>
      </c>
      <c r="J39" s="492">
        <f>SUM(J35:J38)+SUM(J28:J32)</f>
        <v>6361.1</v>
      </c>
      <c r="K39" s="492">
        <f>SUM(K35:K38)+SUM(K28:K32)</f>
        <v>45939.869999999995</v>
      </c>
      <c r="L39" s="492">
        <f>SUM(L35:L38)+SUM(L28:L32)</f>
        <v>2700</v>
      </c>
      <c r="M39" s="493">
        <f>SUM(J39:L39)</f>
        <v>55000.969999999994</v>
      </c>
      <c r="N39" s="494">
        <f>SUM(N28:N32)+SUM(N35:N38)</f>
        <v>350</v>
      </c>
      <c r="O39" s="495">
        <f>SUM(O35:O38)+SUM(O28:O32)</f>
        <v>55350.969999999994</v>
      </c>
      <c r="P39" s="42">
        <f>SUM(P35:P38)+SUM(P28:P32)</f>
        <v>3126.5239999999999</v>
      </c>
      <c r="Q39" s="42">
        <f>SUM(Q35:Q38)+SUM(Q28:Q32)</f>
        <v>19844.05</v>
      </c>
      <c r="R39" s="42">
        <f>SUM(R35:R38)+SUM(R28:R32)</f>
        <v>1533.8200000000002</v>
      </c>
      <c r="S39" s="146">
        <f>SUM(P39:R39)</f>
        <v>24504.394</v>
      </c>
      <c r="T39" s="43">
        <f>SUM(T28:T32)+SUM(T35:T38)</f>
        <v>0</v>
      </c>
      <c r="U39" s="44">
        <f>SUM(U35:U38)+SUM(U28:U32)</f>
        <v>24504.394</v>
      </c>
      <c r="V39" s="42">
        <f>SUM(V35:V38)+SUM(V28:V32)</f>
        <v>6655.2000000000007</v>
      </c>
      <c r="W39" s="42">
        <f>SUM(W35:W38)+SUM(W28:W32)</f>
        <v>48100</v>
      </c>
      <c r="X39" s="42">
        <f>SUM(X35:X38)+SUM(X28:X32)</f>
        <v>2700</v>
      </c>
      <c r="Y39" s="146">
        <f>SUM(V39:X39)</f>
        <v>57455.199999999997</v>
      </c>
      <c r="Z39" s="43">
        <f>SUM(Z28:Z32)+SUM(Z35:Z38)</f>
        <v>400</v>
      </c>
      <c r="AA39" s="44">
        <f>SUM(AA35:AA38)+SUM(AA28:AA32)</f>
        <v>57855.200000000004</v>
      </c>
      <c r="AB39" s="152">
        <f t="shared" si="12"/>
        <v>1.0452427482300672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AA40" si="21">D24-D39</f>
        <v>131.78399999999874</v>
      </c>
      <c r="E40" s="109">
        <f t="shared" si="21"/>
        <v>4.0000000008149073E-3</v>
      </c>
      <c r="F40" s="109">
        <f t="shared" si="21"/>
        <v>103.74300000000039</v>
      </c>
      <c r="G40" s="118">
        <f t="shared" si="21"/>
        <v>235.5309999999954</v>
      </c>
      <c r="H40" s="118">
        <f t="shared" si="21"/>
        <v>123.82300000000004</v>
      </c>
      <c r="I40" s="119">
        <f t="shared" si="21"/>
        <v>359.35399999999936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496">
        <f t="shared" si="21"/>
        <v>0</v>
      </c>
      <c r="N40" s="496">
        <f t="shared" si="21"/>
        <v>0</v>
      </c>
      <c r="O40" s="497">
        <f t="shared" si="21"/>
        <v>0</v>
      </c>
      <c r="P40" s="109">
        <f t="shared" si="21"/>
        <v>183.77599999999984</v>
      </c>
      <c r="Q40" s="109">
        <f t="shared" si="21"/>
        <v>4547.8500000000022</v>
      </c>
      <c r="R40" s="109">
        <f t="shared" si="21"/>
        <v>148.05600000000004</v>
      </c>
      <c r="S40" s="118">
        <f t="shared" si="21"/>
        <v>4879.6820000000007</v>
      </c>
      <c r="T40" s="118">
        <f t="shared" si="21"/>
        <v>262.327</v>
      </c>
      <c r="U40" s="119">
        <f t="shared" si="21"/>
        <v>5142.0090000000018</v>
      </c>
      <c r="V40" s="109">
        <f t="shared" si="21"/>
        <v>0</v>
      </c>
      <c r="W40" s="109">
        <f t="shared" si="21"/>
        <v>0</v>
      </c>
      <c r="X40" s="109">
        <f t="shared" si="21"/>
        <v>0</v>
      </c>
      <c r="Y40" s="118">
        <f t="shared" si="21"/>
        <v>0</v>
      </c>
      <c r="Z40" s="118">
        <f t="shared" si="21"/>
        <v>0</v>
      </c>
      <c r="AA40" s="119">
        <f t="shared" si="21"/>
        <v>0</v>
      </c>
      <c r="AB40" s="153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-5036.8680000000004</v>
      </c>
      <c r="J41" s="112"/>
      <c r="K41" s="113"/>
      <c r="L41" s="113"/>
      <c r="M41" s="114"/>
      <c r="N41" s="117"/>
      <c r="O41" s="116">
        <f>O40-J16</f>
        <v>-5201.6000000000004</v>
      </c>
      <c r="P41" s="112"/>
      <c r="Q41" s="113"/>
      <c r="R41" s="113"/>
      <c r="S41" s="114"/>
      <c r="T41" s="117"/>
      <c r="U41" s="116">
        <f>U40-P16</f>
        <v>2541.0090000000018</v>
      </c>
      <c r="V41" s="112"/>
      <c r="W41" s="113"/>
      <c r="X41" s="113"/>
      <c r="Y41" s="114"/>
      <c r="Z41" s="117"/>
      <c r="AA41" s="116">
        <f>AA40-V16</f>
        <v>-5300</v>
      </c>
      <c r="AB41" s="147">
        <f t="shared" si="12"/>
        <v>1.0189172562288527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>
        <v>321.89999999999998</v>
      </c>
      <c r="E44" s="104">
        <v>321.89999999999998</v>
      </c>
      <c r="F44" s="105">
        <v>0</v>
      </c>
      <c r="G44" s="49"/>
      <c r="H44" s="49"/>
      <c r="I44" s="50"/>
      <c r="J44" s="94">
        <v>321.89999999999998</v>
      </c>
      <c r="K44" s="104">
        <v>321.89999999999998</v>
      </c>
      <c r="L44" s="105">
        <v>0</v>
      </c>
      <c r="M44" s="93"/>
      <c r="N44" s="93"/>
      <c r="O44" s="93"/>
      <c r="P44" s="94">
        <v>160.994</v>
      </c>
      <c r="Q44" s="104">
        <v>160.994</v>
      </c>
      <c r="R44" s="105">
        <v>0</v>
      </c>
      <c r="S44" s="4"/>
      <c r="T44" s="4"/>
      <c r="U44" s="4"/>
      <c r="V44" s="94">
        <v>321.89999999999998</v>
      </c>
      <c r="W44" s="104">
        <v>321.89999999999998</v>
      </c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94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117</v>
      </c>
      <c r="D50" s="85">
        <v>3698.7</v>
      </c>
      <c r="E50" s="85">
        <v>1138.9000000000001</v>
      </c>
      <c r="F50" s="85">
        <v>1961.4</v>
      </c>
      <c r="G50" s="52">
        <f>D50+E50-F50</f>
        <v>2876.2000000000003</v>
      </c>
      <c r="H50" s="49"/>
      <c r="I50" s="4"/>
      <c r="J50" s="52">
        <f>G50+H50-I50</f>
        <v>2876.2000000000003</v>
      </c>
      <c r="K50" s="85">
        <v>1496</v>
      </c>
      <c r="L50" s="85">
        <v>1900</v>
      </c>
      <c r="M50" s="52">
        <f>J50+K50-L50</f>
        <v>2472.2000000000007</v>
      </c>
      <c r="N50" s="4"/>
      <c r="O50" s="4"/>
      <c r="P50" s="85">
        <v>2876.2</v>
      </c>
      <c r="Q50" s="85">
        <v>904.9</v>
      </c>
      <c r="R50" s="85">
        <v>812.2</v>
      </c>
      <c r="S50" s="52">
        <f>P50+Q50-R50</f>
        <v>2968.8999999999996</v>
      </c>
      <c r="T50" s="4"/>
      <c r="U50" s="4"/>
      <c r="V50" s="85">
        <v>2968.5</v>
      </c>
      <c r="W50" s="85">
        <v>880</v>
      </c>
      <c r="X50" s="85">
        <v>1100</v>
      </c>
      <c r="Y50" s="52">
        <f>V50+W50-X50</f>
        <v>2748.5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85">
        <v>871.9</v>
      </c>
      <c r="E51" s="85">
        <v>41.572000000000003</v>
      </c>
      <c r="F51" s="85">
        <v>446.17700000000002</v>
      </c>
      <c r="G51" s="52">
        <f t="shared" ref="G51:G54" si="22">D51+E51-F51</f>
        <v>467.29499999999996</v>
      </c>
      <c r="H51" s="49"/>
      <c r="I51" s="4"/>
      <c r="J51" s="52">
        <f t="shared" ref="J51:J54" si="23">G51+H51-I51</f>
        <v>467.29499999999996</v>
      </c>
      <c r="K51" s="85">
        <v>400</v>
      </c>
      <c r="L51" s="85">
        <v>100</v>
      </c>
      <c r="M51" s="52">
        <f t="shared" ref="M51:M54" si="24">J51+K51-L51</f>
        <v>767.29499999999996</v>
      </c>
      <c r="N51" s="4"/>
      <c r="O51" s="4"/>
      <c r="P51" s="85">
        <v>467.3</v>
      </c>
      <c r="Q51" s="85">
        <v>338.53</v>
      </c>
      <c r="R51" s="85">
        <v>15.5</v>
      </c>
      <c r="S51" s="52">
        <f t="shared" ref="S51:S54" si="25">P51+Q51-R51</f>
        <v>790.32999999999993</v>
      </c>
      <c r="T51" s="4"/>
      <c r="U51" s="4"/>
      <c r="V51" s="85">
        <v>790</v>
      </c>
      <c r="W51" s="85">
        <v>50</v>
      </c>
      <c r="X51" s="85">
        <v>200</v>
      </c>
      <c r="Y51" s="52">
        <f t="shared" ref="Y51:Y54" si="26">V51+W51-X51</f>
        <v>640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1611.5</v>
      </c>
      <c r="E52" s="85">
        <v>496.26499999999999</v>
      </c>
      <c r="F52" s="85">
        <v>549.952</v>
      </c>
      <c r="G52" s="52">
        <f t="shared" si="22"/>
        <v>1557.8129999999999</v>
      </c>
      <c r="H52" s="49"/>
      <c r="I52" s="4"/>
      <c r="J52" s="52">
        <f t="shared" si="23"/>
        <v>1557.8129999999999</v>
      </c>
      <c r="K52" s="85">
        <v>500</v>
      </c>
      <c r="L52" s="85">
        <v>700</v>
      </c>
      <c r="M52" s="52">
        <f t="shared" si="24"/>
        <v>1357.8130000000001</v>
      </c>
      <c r="N52" s="4"/>
      <c r="O52" s="4"/>
      <c r="P52" s="85">
        <v>1557.8</v>
      </c>
      <c r="Q52" s="85">
        <v>246.12</v>
      </c>
      <c r="R52" s="85">
        <v>245.19</v>
      </c>
      <c r="S52" s="52">
        <f t="shared" si="25"/>
        <v>1558.73</v>
      </c>
      <c r="T52" s="4"/>
      <c r="U52" s="4"/>
      <c r="V52" s="85">
        <v>1558.7</v>
      </c>
      <c r="W52" s="85">
        <v>500</v>
      </c>
      <c r="X52" s="85">
        <v>500</v>
      </c>
      <c r="Y52" s="52">
        <f t="shared" si="26"/>
        <v>1558.6999999999998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301.3</v>
      </c>
      <c r="E53" s="85">
        <v>10.138999999999999</v>
      </c>
      <c r="F53" s="85">
        <v>11.855</v>
      </c>
      <c r="G53" s="52">
        <f t="shared" si="22"/>
        <v>299.584</v>
      </c>
      <c r="H53" s="49"/>
      <c r="I53" s="4"/>
      <c r="J53" s="52">
        <f t="shared" si="23"/>
        <v>299.584</v>
      </c>
      <c r="K53" s="85">
        <v>36</v>
      </c>
      <c r="L53" s="85">
        <v>100</v>
      </c>
      <c r="M53" s="52">
        <f t="shared" si="24"/>
        <v>235.584</v>
      </c>
      <c r="N53" s="4"/>
      <c r="O53" s="4"/>
      <c r="P53" s="85">
        <v>299.60000000000002</v>
      </c>
      <c r="Q53" s="85">
        <v>35.936999999999998</v>
      </c>
      <c r="R53" s="85">
        <v>30</v>
      </c>
      <c r="S53" s="52">
        <f t="shared" si="25"/>
        <v>305.53700000000003</v>
      </c>
      <c r="T53" s="4"/>
      <c r="U53" s="4"/>
      <c r="V53" s="85">
        <v>305.5</v>
      </c>
      <c r="W53" s="85">
        <v>50</v>
      </c>
      <c r="X53" s="85">
        <v>50</v>
      </c>
      <c r="Y53" s="52">
        <f t="shared" si="26"/>
        <v>305.5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913.96199999999999</v>
      </c>
      <c r="E54" s="85">
        <v>590.91899999999998</v>
      </c>
      <c r="F54" s="85">
        <v>953.41600000000005</v>
      </c>
      <c r="G54" s="52">
        <f t="shared" si="22"/>
        <v>551.4649999999998</v>
      </c>
      <c r="H54" s="49"/>
      <c r="I54" s="4"/>
      <c r="J54" s="52">
        <f t="shared" si="23"/>
        <v>551.4649999999998</v>
      </c>
      <c r="K54" s="85">
        <v>560</v>
      </c>
      <c r="L54" s="85">
        <v>1000</v>
      </c>
      <c r="M54" s="52">
        <f t="shared" si="24"/>
        <v>111.46499999999969</v>
      </c>
      <c r="N54" s="4"/>
      <c r="O54" s="4"/>
      <c r="P54" s="85">
        <v>551.5</v>
      </c>
      <c r="Q54" s="85">
        <v>284.3</v>
      </c>
      <c r="R54" s="85">
        <v>521.48</v>
      </c>
      <c r="S54" s="52">
        <f t="shared" si="25"/>
        <v>314.31999999999994</v>
      </c>
      <c r="T54" s="4"/>
      <c r="U54" s="4"/>
      <c r="V54" s="85">
        <v>314.3</v>
      </c>
      <c r="W54" s="85">
        <v>280</v>
      </c>
      <c r="X54" s="85">
        <v>350</v>
      </c>
      <c r="Y54" s="52">
        <f t="shared" si="26"/>
        <v>244.29999999999995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61</v>
      </c>
      <c r="E57" s="86">
        <v>60</v>
      </c>
      <c r="F57" s="49"/>
      <c r="G57" s="49"/>
      <c r="H57" s="49"/>
      <c r="I57" s="50"/>
      <c r="J57" s="86">
        <v>60</v>
      </c>
      <c r="K57" s="49"/>
      <c r="L57" s="49"/>
      <c r="M57" s="49"/>
      <c r="N57" s="49"/>
      <c r="O57" s="50"/>
      <c r="P57" s="86">
        <v>59.6</v>
      </c>
      <c r="Q57" s="50"/>
      <c r="R57" s="50"/>
      <c r="S57" s="50"/>
      <c r="T57" s="50"/>
      <c r="U57" s="50"/>
      <c r="V57" s="86">
        <v>60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 t="s">
        <v>212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83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83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83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83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83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83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83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83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83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83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83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83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183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24"/>
      <c r="C83" s="91"/>
      <c r="D83" s="91"/>
      <c r="E83" s="91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43"/>
      <c r="C84" s="140"/>
      <c r="D84" s="2"/>
      <c r="E84" s="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24"/>
      <c r="C86" s="125"/>
      <c r="D86" s="2"/>
      <c r="E86" s="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22"/>
      <c r="W86" s="122"/>
      <c r="X86" s="122"/>
      <c r="Y86" s="122"/>
      <c r="Z86" s="122"/>
      <c r="AA86" s="122"/>
      <c r="AB86" s="123"/>
      <c r="AC86" s="4"/>
      <c r="AD86" s="4"/>
    </row>
    <row r="87" spans="1:30" x14ac:dyDescent="0.25">
      <c r="A87" s="5"/>
      <c r="B87" s="134"/>
      <c r="C87" s="135"/>
      <c r="D87" s="136"/>
      <c r="E87" s="136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56"/>
      <c r="W87" s="156"/>
      <c r="X87" s="156"/>
      <c r="Y87" s="156"/>
      <c r="Z87" s="156"/>
      <c r="AA87" s="156"/>
      <c r="AB87" s="157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7"/>
      <c r="B89" s="138"/>
      <c r="C89" s="137"/>
      <c r="D89" s="138"/>
      <c r="E89" s="138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3" t="s">
        <v>80</v>
      </c>
      <c r="C91" s="120">
        <v>45208</v>
      </c>
      <c r="D91" s="53" t="s">
        <v>76</v>
      </c>
      <c r="E91" s="218" t="s">
        <v>213</v>
      </c>
      <c r="F91" s="218"/>
      <c r="G91" s="218"/>
      <c r="H91" s="53"/>
      <c r="I91" s="53" t="s">
        <v>77</v>
      </c>
      <c r="J91" s="222" t="s">
        <v>214</v>
      </c>
      <c r="K91" s="222"/>
      <c r="L91" s="222"/>
      <c r="M91" s="222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 t="s">
        <v>79</v>
      </c>
      <c r="E93" s="55"/>
      <c r="F93" s="55"/>
      <c r="G93" s="55"/>
      <c r="H93" s="53"/>
      <c r="I93" s="53" t="s">
        <v>79</v>
      </c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5"/>
      <c r="F94" s="55"/>
      <c r="G94" s="55"/>
      <c r="H94" s="53"/>
      <c r="I94" s="53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43" priority="3" operator="equal">
      <formula>0</formula>
    </cfRule>
    <cfRule type="containsErrors" dxfId="42" priority="4">
      <formula>ISERROR(AB15)</formula>
    </cfRule>
  </conditionalFormatting>
  <conditionalFormatting sqref="AB28:AB41">
    <cfRule type="cellIs" dxfId="41" priority="1" operator="equal">
      <formula>0</formula>
    </cfRule>
    <cfRule type="containsErrors" dxfId="4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128"/>
  <sheetViews>
    <sheetView showGridLines="0" zoomScale="66" zoomScaleNormal="66" zoomScaleSheetLayoutView="76" workbookViewId="0">
      <selection activeCell="E93" sqref="E9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.42578125" customWidth="1"/>
    <col min="9" max="9" width="1.28515625" customWidth="1"/>
    <col min="10" max="10" width="14.140625" customWidth="1"/>
    <col min="11" max="11" width="11.28515625" customWidth="1"/>
    <col min="12" max="12" width="16.140625" customWidth="1"/>
    <col min="13" max="13" width="17.85546875" customWidth="1"/>
    <col min="14" max="14" width="13.7109375" customWidth="1"/>
    <col min="15" max="15" width="23.42578125" style="427" customWidth="1"/>
    <col min="16" max="16" width="13.28515625" customWidth="1"/>
    <col min="17" max="17" width="11.28515625" customWidth="1"/>
    <col min="18" max="20" width="16.42578125" customWidth="1"/>
    <col min="21" max="21" width="21.140625" customWidth="1"/>
    <col min="22" max="22" width="12.42578125" customWidth="1"/>
    <col min="23" max="23" width="10.7109375" customWidth="1"/>
    <col min="24" max="24" width="16.140625" bestFit="1" customWidth="1"/>
    <col min="25" max="25" width="14.140625" bestFit="1" customWidth="1"/>
    <col min="26" max="26" width="13.140625" bestFit="1" customWidth="1"/>
    <col min="27" max="27" width="21.85546875" customWidth="1"/>
    <col min="28" max="28" width="12.5703125" customWidth="1"/>
    <col min="29" max="29" width="10.7109375" bestFit="1" customWidth="1"/>
    <col min="30" max="30" width="17.7109375" customWidth="1"/>
    <col min="31" max="31" width="5.85546875" customWidth="1"/>
    <col min="32" max="32" width="0" hidden="1" customWidth="1"/>
    <col min="33" max="16384" width="9.140625" hidden="1"/>
  </cols>
  <sheetData>
    <row r="1" spans="1:32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37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2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37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2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3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2" ht="21" x14ac:dyDescent="0.35">
      <c r="A4" s="4"/>
      <c r="B4" s="4" t="s">
        <v>43</v>
      </c>
      <c r="C4" s="4"/>
      <c r="D4" s="239" t="s">
        <v>215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4"/>
      <c r="Y4" s="4"/>
      <c r="Z4" s="4"/>
      <c r="AA4" s="4"/>
      <c r="AB4" s="4"/>
      <c r="AC4" s="4"/>
      <c r="AD4" s="4"/>
      <c r="AE4" s="4"/>
    </row>
    <row r="5" spans="1:32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3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2" x14ac:dyDescent="0.25">
      <c r="A6" s="4"/>
      <c r="B6" s="4" t="s">
        <v>44</v>
      </c>
      <c r="C6" s="4"/>
      <c r="D6" s="240">
        <v>46789766</v>
      </c>
      <c r="E6" s="4"/>
      <c r="F6" s="4"/>
      <c r="G6" s="4"/>
      <c r="H6" s="4"/>
      <c r="I6" s="4"/>
      <c r="J6" s="4"/>
      <c r="K6" s="4"/>
      <c r="L6" s="4"/>
      <c r="M6" s="4"/>
      <c r="N6" s="4"/>
      <c r="O6" s="237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2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4"/>
      <c r="N7" s="4"/>
      <c r="O7" s="23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2" x14ac:dyDescent="0.25">
      <c r="A8" s="4"/>
      <c r="B8" s="4" t="s">
        <v>45</v>
      </c>
      <c r="C8" s="4"/>
      <c r="D8" s="242" t="s">
        <v>216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4"/>
      <c r="Y8" s="4"/>
      <c r="Z8" s="4"/>
      <c r="AA8" s="4"/>
      <c r="AB8" s="4"/>
      <c r="AC8" s="4"/>
      <c r="AD8" s="4"/>
      <c r="AE8" s="4"/>
    </row>
    <row r="9" spans="1:32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237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2" ht="29.25" customHeight="1" thickBot="1" x14ac:dyDescent="0.3">
      <c r="A10" s="4"/>
      <c r="B10" s="243" t="s">
        <v>37</v>
      </c>
      <c r="C10" s="244" t="s">
        <v>38</v>
      </c>
      <c r="D10" s="613" t="s">
        <v>100</v>
      </c>
      <c r="E10" s="614"/>
      <c r="F10" s="614"/>
      <c r="G10" s="614"/>
      <c r="H10" s="614"/>
      <c r="I10" s="614"/>
      <c r="J10" s="614"/>
      <c r="K10" s="615"/>
      <c r="L10" s="613" t="s">
        <v>101</v>
      </c>
      <c r="M10" s="614"/>
      <c r="N10" s="614"/>
      <c r="O10" s="614"/>
      <c r="P10" s="614"/>
      <c r="Q10" s="615"/>
      <c r="R10" s="613" t="s">
        <v>102</v>
      </c>
      <c r="S10" s="614"/>
      <c r="T10" s="614"/>
      <c r="U10" s="614"/>
      <c r="V10" s="614"/>
      <c r="W10" s="615"/>
      <c r="X10" s="616" t="s">
        <v>217</v>
      </c>
      <c r="Y10" s="617"/>
      <c r="Z10" s="617"/>
      <c r="AA10" s="617"/>
      <c r="AB10" s="617"/>
      <c r="AC10" s="618"/>
      <c r="AD10" s="619" t="s">
        <v>162</v>
      </c>
      <c r="AE10" s="4"/>
      <c r="AF10" s="4"/>
    </row>
    <row r="11" spans="1:32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620"/>
      <c r="I11" s="620"/>
      <c r="J11" s="254" t="s">
        <v>40</v>
      </c>
      <c r="K11" s="254" t="s">
        <v>61</v>
      </c>
      <c r="L11" s="251" t="s">
        <v>39</v>
      </c>
      <c r="M11" s="252"/>
      <c r="N11" s="252"/>
      <c r="O11" s="253"/>
      <c r="P11" s="254" t="s">
        <v>40</v>
      </c>
      <c r="Q11" s="254" t="s">
        <v>61</v>
      </c>
      <c r="R11" s="251" t="s">
        <v>39</v>
      </c>
      <c r="S11" s="252"/>
      <c r="T11" s="252"/>
      <c r="U11" s="253"/>
      <c r="V11" s="254" t="s">
        <v>40</v>
      </c>
      <c r="W11" s="254" t="s">
        <v>61</v>
      </c>
      <c r="X11" s="621" t="s">
        <v>39</v>
      </c>
      <c r="Y11" s="622"/>
      <c r="Z11" s="622"/>
      <c r="AA11" s="623"/>
      <c r="AB11" s="624" t="s">
        <v>40</v>
      </c>
      <c r="AC11" s="624" t="s">
        <v>61</v>
      </c>
      <c r="AD11" s="625"/>
      <c r="AE11" s="4"/>
      <c r="AF11" s="4"/>
    </row>
    <row r="12" spans="1:32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8"/>
      <c r="J12" s="258"/>
      <c r="K12" s="259"/>
      <c r="L12" s="257" t="s">
        <v>62</v>
      </c>
      <c r="M12" s="258"/>
      <c r="N12" s="258"/>
      <c r="O12" s="258"/>
      <c r="P12" s="258"/>
      <c r="Q12" s="259"/>
      <c r="R12" s="257" t="s">
        <v>62</v>
      </c>
      <c r="S12" s="258"/>
      <c r="T12" s="258"/>
      <c r="U12" s="258"/>
      <c r="V12" s="258"/>
      <c r="W12" s="259"/>
      <c r="X12" s="626" t="s">
        <v>62</v>
      </c>
      <c r="Y12" s="627"/>
      <c r="Z12" s="627"/>
      <c r="AA12" s="627"/>
      <c r="AB12" s="627"/>
      <c r="AC12" s="628"/>
      <c r="AD12" s="625"/>
      <c r="AE12" s="4"/>
      <c r="AF12" s="4"/>
    </row>
    <row r="13" spans="1:32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629" t="s">
        <v>63</v>
      </c>
      <c r="H13" s="630"/>
      <c r="I13" s="631"/>
      <c r="J13" s="632" t="s">
        <v>66</v>
      </c>
      <c r="K13" s="266" t="s">
        <v>62</v>
      </c>
      <c r="L13" s="262" t="s">
        <v>57</v>
      </c>
      <c r="M13" s="263"/>
      <c r="N13" s="263"/>
      <c r="O13" s="264" t="s">
        <v>63</v>
      </c>
      <c r="P13" s="265" t="s">
        <v>66</v>
      </c>
      <c r="Q13" s="266" t="s">
        <v>62</v>
      </c>
      <c r="R13" s="262" t="s">
        <v>57</v>
      </c>
      <c r="S13" s="263"/>
      <c r="T13" s="263"/>
      <c r="U13" s="264" t="s">
        <v>63</v>
      </c>
      <c r="V13" s="265" t="s">
        <v>66</v>
      </c>
      <c r="W13" s="266" t="s">
        <v>62</v>
      </c>
      <c r="X13" s="633" t="s">
        <v>57</v>
      </c>
      <c r="Y13" s="634"/>
      <c r="Z13" s="634"/>
      <c r="AA13" s="635" t="s">
        <v>63</v>
      </c>
      <c r="AB13" s="632" t="s">
        <v>66</v>
      </c>
      <c r="AC13" s="636" t="s">
        <v>62</v>
      </c>
      <c r="AD13" s="625"/>
      <c r="AE13" s="4"/>
      <c r="AF13" s="4"/>
    </row>
    <row r="14" spans="1:32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637"/>
      <c r="H14" s="638"/>
      <c r="I14" s="639"/>
      <c r="J14" s="640"/>
      <c r="K14" s="273"/>
      <c r="L14" s="269" t="s">
        <v>58</v>
      </c>
      <c r="M14" s="270" t="s">
        <v>90</v>
      </c>
      <c r="N14" s="270" t="s">
        <v>59</v>
      </c>
      <c r="O14" s="271"/>
      <c r="P14" s="272"/>
      <c r="Q14" s="273"/>
      <c r="R14" s="269" t="s">
        <v>58</v>
      </c>
      <c r="S14" s="270" t="s">
        <v>90</v>
      </c>
      <c r="T14" s="270" t="s">
        <v>59</v>
      </c>
      <c r="U14" s="271"/>
      <c r="V14" s="272"/>
      <c r="W14" s="273"/>
      <c r="X14" s="641" t="s">
        <v>58</v>
      </c>
      <c r="Y14" s="642" t="s">
        <v>90</v>
      </c>
      <c r="Z14" s="642" t="s">
        <v>59</v>
      </c>
      <c r="AA14" s="643"/>
      <c r="AB14" s="640"/>
      <c r="AC14" s="644"/>
      <c r="AD14" s="645"/>
      <c r="AE14" s="4"/>
      <c r="AF14" s="4"/>
    </row>
    <row r="15" spans="1:32" x14ac:dyDescent="0.25">
      <c r="A15" s="4"/>
      <c r="B15" s="275" t="s">
        <v>0</v>
      </c>
      <c r="C15" s="276" t="s">
        <v>52</v>
      </c>
      <c r="D15" s="646"/>
      <c r="E15" s="647"/>
      <c r="F15" s="648">
        <v>2157.6</v>
      </c>
      <c r="G15" s="649">
        <f>SUM(D15:F15)</f>
        <v>2157.6</v>
      </c>
      <c r="H15" s="650"/>
      <c r="I15" s="651"/>
      <c r="J15" s="652">
        <v>314.2</v>
      </c>
      <c r="K15" s="653">
        <f>G15+J15</f>
        <v>2471.7999999999997</v>
      </c>
      <c r="L15" s="646"/>
      <c r="M15" s="647"/>
      <c r="N15" s="648">
        <v>2000</v>
      </c>
      <c r="O15" s="649">
        <f t="shared" ref="O15:O23" si="0">SUM(L15:N15)</f>
        <v>2000</v>
      </c>
      <c r="P15" s="652">
        <v>286</v>
      </c>
      <c r="Q15" s="653">
        <f>O15+P15</f>
        <v>2286</v>
      </c>
      <c r="R15" s="646"/>
      <c r="S15" s="647"/>
      <c r="T15" s="648">
        <v>1460.8</v>
      </c>
      <c r="U15" s="649">
        <f>SUM(R15:T15)</f>
        <v>1460.8</v>
      </c>
      <c r="V15" s="652">
        <v>268</v>
      </c>
      <c r="W15" s="653">
        <f>U15+V15</f>
        <v>1728.8</v>
      </c>
      <c r="X15" s="646"/>
      <c r="Y15" s="647"/>
      <c r="Z15" s="648">
        <v>2150</v>
      </c>
      <c r="AA15" s="649">
        <f>SUM(X15:Z15)</f>
        <v>2150</v>
      </c>
      <c r="AB15" s="652">
        <v>310</v>
      </c>
      <c r="AC15" s="653">
        <f>AA15+AB15</f>
        <v>2460</v>
      </c>
      <c r="AD15" s="283">
        <f>(AC15/Q15)</f>
        <v>1.0761154855643045</v>
      </c>
      <c r="AE15" s="4"/>
      <c r="AF15" s="4"/>
    </row>
    <row r="16" spans="1:32" x14ac:dyDescent="0.25">
      <c r="A16" s="4"/>
      <c r="B16" s="284" t="s">
        <v>1</v>
      </c>
      <c r="C16" s="285" t="s">
        <v>60</v>
      </c>
      <c r="D16" s="654">
        <v>5060</v>
      </c>
      <c r="E16" s="655"/>
      <c r="F16" s="655"/>
      <c r="G16" s="649">
        <f t="shared" ref="G16:G17" si="1">SUM(D16:F16)</f>
        <v>5060</v>
      </c>
      <c r="H16" s="650"/>
      <c r="I16" s="651"/>
      <c r="J16" s="656">
        <v>0</v>
      </c>
      <c r="K16" s="653">
        <f t="shared" ref="K16:K23" si="2">G16+J16</f>
        <v>5060</v>
      </c>
      <c r="L16" s="654">
        <v>5747.7</v>
      </c>
      <c r="M16" s="655"/>
      <c r="N16" s="655"/>
      <c r="O16" s="657">
        <f t="shared" si="0"/>
        <v>5747.7</v>
      </c>
      <c r="P16" s="656"/>
      <c r="Q16" s="653">
        <f t="shared" ref="Q16:Q20" si="3">O16+P16</f>
        <v>5747.7</v>
      </c>
      <c r="R16" s="654">
        <v>2874</v>
      </c>
      <c r="S16" s="655"/>
      <c r="T16" s="655"/>
      <c r="U16" s="657">
        <f t="shared" ref="U16:U23" si="4">SUM(R16:T16)</f>
        <v>2874</v>
      </c>
      <c r="V16" s="656"/>
      <c r="W16" s="653">
        <f t="shared" ref="W16:W20" si="5">U16+V16</f>
        <v>2874</v>
      </c>
      <c r="X16" s="658">
        <f>6100</f>
        <v>6100</v>
      </c>
      <c r="Y16" s="655"/>
      <c r="Z16" s="655"/>
      <c r="AA16" s="657">
        <f t="shared" ref="AA16:AA23" si="6">SUM(X16:Z16)</f>
        <v>6100</v>
      </c>
      <c r="AB16" s="656"/>
      <c r="AC16" s="653">
        <f t="shared" ref="AC16:AC20" si="7">AA16+AB16</f>
        <v>6100</v>
      </c>
      <c r="AD16" s="283">
        <f t="shared" ref="AD16:AD24" si="8">(AC16/Q16)</f>
        <v>1.0612940828505315</v>
      </c>
      <c r="AE16" s="4"/>
      <c r="AF16" s="4"/>
    </row>
    <row r="17" spans="1:32" x14ac:dyDescent="0.25">
      <c r="A17" s="4"/>
      <c r="B17" s="284" t="s">
        <v>3</v>
      </c>
      <c r="C17" s="290" t="s">
        <v>78</v>
      </c>
      <c r="D17" s="659">
        <v>522.70000000000005</v>
      </c>
      <c r="E17" s="655"/>
      <c r="F17" s="655"/>
      <c r="G17" s="649">
        <f t="shared" si="1"/>
        <v>522.70000000000005</v>
      </c>
      <c r="H17" s="650"/>
      <c r="I17" s="651"/>
      <c r="J17" s="660">
        <v>0</v>
      </c>
      <c r="K17" s="653">
        <f>G17+J17</f>
        <v>522.70000000000005</v>
      </c>
      <c r="L17" s="659">
        <v>483.3</v>
      </c>
      <c r="M17" s="655"/>
      <c r="N17" s="655"/>
      <c r="O17" s="657">
        <f t="shared" si="0"/>
        <v>483.3</v>
      </c>
      <c r="P17" s="660"/>
      <c r="Q17" s="653">
        <f t="shared" si="3"/>
        <v>483.3</v>
      </c>
      <c r="R17" s="659">
        <f>181+216.4+41.9+44</f>
        <v>483.29999999999995</v>
      </c>
      <c r="S17" s="655"/>
      <c r="T17" s="655"/>
      <c r="U17" s="657">
        <f t="shared" si="4"/>
        <v>483.29999999999995</v>
      </c>
      <c r="V17" s="660"/>
      <c r="W17" s="653">
        <f t="shared" si="5"/>
        <v>483.29999999999995</v>
      </c>
      <c r="X17" s="658">
        <f>480.9+550</f>
        <v>1030.9000000000001</v>
      </c>
      <c r="Y17" s="655"/>
      <c r="Z17" s="655"/>
      <c r="AA17" s="657">
        <f t="shared" si="6"/>
        <v>1030.9000000000001</v>
      </c>
      <c r="AB17" s="660"/>
      <c r="AC17" s="653">
        <f t="shared" si="7"/>
        <v>1030.9000000000001</v>
      </c>
      <c r="AD17" s="283">
        <f t="shared" si="8"/>
        <v>2.1330436581833232</v>
      </c>
      <c r="AE17" s="4"/>
      <c r="AF17" s="4"/>
    </row>
    <row r="18" spans="1:32" x14ac:dyDescent="0.25">
      <c r="A18" s="4"/>
      <c r="B18" s="284" t="s">
        <v>5</v>
      </c>
      <c r="C18" s="293" t="s">
        <v>53</v>
      </c>
      <c r="D18" s="661"/>
      <c r="E18" s="662">
        <f>41913.9+487.8+232.3+68.9+1111+95.7+93.6</f>
        <v>44003.200000000004</v>
      </c>
      <c r="F18" s="655"/>
      <c r="G18" s="657">
        <f t="shared" ref="G18:G23" si="9">SUM(D18:F18)</f>
        <v>44003.200000000004</v>
      </c>
      <c r="H18" s="650"/>
      <c r="I18" s="651"/>
      <c r="J18" s="652">
        <v>0</v>
      </c>
      <c r="K18" s="653">
        <f t="shared" si="2"/>
        <v>44003.200000000004</v>
      </c>
      <c r="L18" s="661"/>
      <c r="M18" s="662">
        <v>48405.5</v>
      </c>
      <c r="N18" s="655"/>
      <c r="O18" s="657">
        <f t="shared" si="0"/>
        <v>48405.5</v>
      </c>
      <c r="P18" s="652">
        <v>0</v>
      </c>
      <c r="Q18" s="653">
        <f t="shared" si="3"/>
        <v>48405.5</v>
      </c>
      <c r="R18" s="661"/>
      <c r="S18" s="662">
        <f>22534+717+347.8+2456.5-0.7</f>
        <v>26054.6</v>
      </c>
      <c r="T18" s="655"/>
      <c r="U18" s="657">
        <f t="shared" si="4"/>
        <v>26054.6</v>
      </c>
      <c r="V18" s="652">
        <v>0</v>
      </c>
      <c r="W18" s="653">
        <f t="shared" si="5"/>
        <v>26054.6</v>
      </c>
      <c r="X18" s="661"/>
      <c r="Y18" s="662">
        <f>45070+3539.6-320</f>
        <v>48289.599999999999</v>
      </c>
      <c r="Z18" s="655"/>
      <c r="AA18" s="657">
        <f t="shared" si="6"/>
        <v>48289.599999999999</v>
      </c>
      <c r="AB18" s="652">
        <v>0</v>
      </c>
      <c r="AC18" s="653">
        <f t="shared" si="7"/>
        <v>48289.599999999999</v>
      </c>
      <c r="AD18" s="283">
        <f t="shared" si="8"/>
        <v>0.99760564398673701</v>
      </c>
      <c r="AE18" s="4"/>
      <c r="AF18" s="4"/>
    </row>
    <row r="19" spans="1:32" x14ac:dyDescent="0.25">
      <c r="A19" s="4"/>
      <c r="B19" s="284" t="s">
        <v>7</v>
      </c>
      <c r="C19" s="295" t="s">
        <v>46</v>
      </c>
      <c r="D19" s="661"/>
      <c r="E19" s="655"/>
      <c r="F19" s="662">
        <v>897.3</v>
      </c>
      <c r="G19" s="657">
        <f t="shared" si="9"/>
        <v>897.3</v>
      </c>
      <c r="H19" s="650"/>
      <c r="I19" s="651"/>
      <c r="J19" s="652">
        <v>0</v>
      </c>
      <c r="K19" s="653">
        <f>G19+J19</f>
        <v>897.3</v>
      </c>
      <c r="L19" s="661"/>
      <c r="M19" s="655"/>
      <c r="N19" s="662">
        <v>897.3</v>
      </c>
      <c r="O19" s="657">
        <f t="shared" si="0"/>
        <v>897.3</v>
      </c>
      <c r="P19" s="652">
        <v>0</v>
      </c>
      <c r="Q19" s="653">
        <f t="shared" si="3"/>
        <v>897.3</v>
      </c>
      <c r="R19" s="661"/>
      <c r="S19" s="655"/>
      <c r="T19" s="662">
        <v>487.3</v>
      </c>
      <c r="U19" s="657">
        <f t="shared" si="4"/>
        <v>487.3</v>
      </c>
      <c r="V19" s="652">
        <v>0</v>
      </c>
      <c r="W19" s="653">
        <f t="shared" si="5"/>
        <v>487.3</v>
      </c>
      <c r="X19" s="661"/>
      <c r="Y19" s="655"/>
      <c r="Z19" s="662">
        <v>1030</v>
      </c>
      <c r="AA19" s="657">
        <f t="shared" si="6"/>
        <v>1030</v>
      </c>
      <c r="AB19" s="652">
        <v>0</v>
      </c>
      <c r="AC19" s="653">
        <f t="shared" si="7"/>
        <v>1030</v>
      </c>
      <c r="AD19" s="283">
        <f t="shared" si="8"/>
        <v>1.1478881087707569</v>
      </c>
      <c r="AE19" s="4"/>
      <c r="AF19" s="4"/>
    </row>
    <row r="20" spans="1:32" x14ac:dyDescent="0.25">
      <c r="A20" s="4"/>
      <c r="B20" s="284" t="s">
        <v>9</v>
      </c>
      <c r="C20" s="297" t="s">
        <v>47</v>
      </c>
      <c r="D20" s="661"/>
      <c r="E20" s="655"/>
      <c r="F20" s="662">
        <v>287</v>
      </c>
      <c r="G20" s="657">
        <f t="shared" si="9"/>
        <v>287</v>
      </c>
      <c r="H20" s="650"/>
      <c r="I20" s="651"/>
      <c r="J20" s="652">
        <v>0</v>
      </c>
      <c r="K20" s="653">
        <f t="shared" si="2"/>
        <v>287</v>
      </c>
      <c r="L20" s="661"/>
      <c r="M20" s="655"/>
      <c r="N20" s="662">
        <v>100</v>
      </c>
      <c r="O20" s="657">
        <f t="shared" si="0"/>
        <v>100</v>
      </c>
      <c r="P20" s="652">
        <v>0</v>
      </c>
      <c r="Q20" s="653">
        <f t="shared" si="3"/>
        <v>100</v>
      </c>
      <c r="R20" s="661"/>
      <c r="S20" s="655"/>
      <c r="T20" s="662">
        <v>347.3</v>
      </c>
      <c r="U20" s="657">
        <f t="shared" si="4"/>
        <v>347.3</v>
      </c>
      <c r="V20" s="652">
        <v>0</v>
      </c>
      <c r="W20" s="653">
        <f t="shared" si="5"/>
        <v>347.3</v>
      </c>
      <c r="X20" s="661"/>
      <c r="Y20" s="655">
        <v>550</v>
      </c>
      <c r="Z20" s="663">
        <f>50</f>
        <v>50</v>
      </c>
      <c r="AA20" s="657">
        <f t="shared" si="6"/>
        <v>600</v>
      </c>
      <c r="AB20" s="652">
        <v>0</v>
      </c>
      <c r="AC20" s="653">
        <f t="shared" si="7"/>
        <v>600</v>
      </c>
      <c r="AD20" s="283">
        <f t="shared" si="8"/>
        <v>6</v>
      </c>
      <c r="AE20" s="4"/>
      <c r="AF20" s="4"/>
    </row>
    <row r="21" spans="1:32" x14ac:dyDescent="0.25">
      <c r="A21" s="4"/>
      <c r="B21" s="284" t="s">
        <v>11</v>
      </c>
      <c r="C21" s="299" t="s">
        <v>2</v>
      </c>
      <c r="D21" s="661"/>
      <c r="E21" s="655"/>
      <c r="F21" s="662">
        <v>209.3</v>
      </c>
      <c r="G21" s="657">
        <f t="shared" si="9"/>
        <v>209.3</v>
      </c>
      <c r="H21" s="664"/>
      <c r="I21" s="651"/>
      <c r="J21" s="665">
        <f>SUM(J22:J23)</f>
        <v>262.2</v>
      </c>
      <c r="K21" s="653">
        <f>G21+J21</f>
        <v>471.5</v>
      </c>
      <c r="L21" s="661"/>
      <c r="M21" s="655"/>
      <c r="N21" s="662">
        <v>190</v>
      </c>
      <c r="O21" s="657">
        <f t="shared" si="0"/>
        <v>190</v>
      </c>
      <c r="P21" s="665">
        <v>196</v>
      </c>
      <c r="Q21" s="653">
        <f>O21+P21</f>
        <v>386</v>
      </c>
      <c r="R21" s="661"/>
      <c r="S21" s="655"/>
      <c r="T21" s="662">
        <f>37.9+96.3</f>
        <v>134.19999999999999</v>
      </c>
      <c r="U21" s="657">
        <f t="shared" si="4"/>
        <v>134.19999999999999</v>
      </c>
      <c r="V21" s="665">
        <v>133.1</v>
      </c>
      <c r="W21" s="653">
        <f>U21+V21</f>
        <v>267.29999999999995</v>
      </c>
      <c r="X21" s="661"/>
      <c r="Y21" s="655"/>
      <c r="Z21" s="662">
        <v>210</v>
      </c>
      <c r="AA21" s="657">
        <f t="shared" si="6"/>
        <v>210</v>
      </c>
      <c r="AB21" s="665">
        <v>260</v>
      </c>
      <c r="AC21" s="653">
        <f>AA21+AB21</f>
        <v>470</v>
      </c>
      <c r="AD21" s="283">
        <f t="shared" si="8"/>
        <v>1.2176165803108809</v>
      </c>
      <c r="AE21" s="4"/>
      <c r="AF21" s="4"/>
    </row>
    <row r="22" spans="1:32" x14ac:dyDescent="0.25">
      <c r="A22" s="4"/>
      <c r="B22" s="284" t="s">
        <v>13</v>
      </c>
      <c r="C22" s="299" t="s">
        <v>4</v>
      </c>
      <c r="D22" s="661"/>
      <c r="E22" s="655"/>
      <c r="F22" s="662">
        <v>0</v>
      </c>
      <c r="G22" s="657">
        <f t="shared" si="9"/>
        <v>0</v>
      </c>
      <c r="H22" s="664"/>
      <c r="I22" s="651"/>
      <c r="J22" s="665">
        <v>262.2</v>
      </c>
      <c r="K22" s="653">
        <f t="shared" si="2"/>
        <v>262.2</v>
      </c>
      <c r="L22" s="661"/>
      <c r="M22" s="655"/>
      <c r="N22" s="662">
        <v>0</v>
      </c>
      <c r="O22" s="657">
        <f t="shared" si="0"/>
        <v>0</v>
      </c>
      <c r="P22" s="665">
        <v>196</v>
      </c>
      <c r="Q22" s="653">
        <f t="shared" ref="Q22:Q23" si="10">O22+P22</f>
        <v>196</v>
      </c>
      <c r="R22" s="661"/>
      <c r="S22" s="655"/>
      <c r="T22" s="662">
        <v>0</v>
      </c>
      <c r="U22" s="657">
        <f t="shared" si="4"/>
        <v>0</v>
      </c>
      <c r="V22" s="665">
        <v>133.1</v>
      </c>
      <c r="W22" s="653">
        <f t="shared" ref="W22:W23" si="11">U22+V22</f>
        <v>133.1</v>
      </c>
      <c r="X22" s="661"/>
      <c r="Y22" s="655"/>
      <c r="Z22" s="662">
        <v>0</v>
      </c>
      <c r="AA22" s="657">
        <f t="shared" si="6"/>
        <v>0</v>
      </c>
      <c r="AB22" s="665">
        <v>260</v>
      </c>
      <c r="AC22" s="653">
        <f t="shared" ref="AC22:AC23" si="12">AA22+AB22</f>
        <v>260</v>
      </c>
      <c r="AD22" s="283">
        <f t="shared" si="8"/>
        <v>1.3265306122448979</v>
      </c>
      <c r="AE22" s="4"/>
      <c r="AF22" s="4"/>
    </row>
    <row r="23" spans="1:32" ht="15.75" thickBot="1" x14ac:dyDescent="0.3">
      <c r="A23" s="4"/>
      <c r="B23" s="301" t="s">
        <v>15</v>
      </c>
      <c r="C23" s="302" t="s">
        <v>6</v>
      </c>
      <c r="D23" s="666"/>
      <c r="E23" s="667"/>
      <c r="F23" s="668">
        <v>0</v>
      </c>
      <c r="G23" s="657">
        <f t="shared" si="9"/>
        <v>0</v>
      </c>
      <c r="H23" s="669"/>
      <c r="I23" s="651"/>
      <c r="J23" s="670">
        <v>0</v>
      </c>
      <c r="K23" s="671">
        <f t="shared" si="2"/>
        <v>0</v>
      </c>
      <c r="L23" s="666"/>
      <c r="M23" s="667"/>
      <c r="N23" s="668">
        <v>0</v>
      </c>
      <c r="O23" s="672">
        <f t="shared" si="0"/>
        <v>0</v>
      </c>
      <c r="P23" s="670">
        <v>0</v>
      </c>
      <c r="Q23" s="671">
        <f t="shared" si="10"/>
        <v>0</v>
      </c>
      <c r="R23" s="666"/>
      <c r="S23" s="667"/>
      <c r="T23" s="668">
        <v>0</v>
      </c>
      <c r="U23" s="672">
        <f t="shared" si="4"/>
        <v>0</v>
      </c>
      <c r="V23" s="670">
        <v>0</v>
      </c>
      <c r="W23" s="671">
        <f t="shared" si="11"/>
        <v>0</v>
      </c>
      <c r="X23" s="666"/>
      <c r="Y23" s="667"/>
      <c r="Z23" s="668">
        <v>0</v>
      </c>
      <c r="AA23" s="672">
        <f t="shared" si="6"/>
        <v>0</v>
      </c>
      <c r="AB23" s="670">
        <v>0</v>
      </c>
      <c r="AC23" s="671">
        <f t="shared" si="12"/>
        <v>0</v>
      </c>
      <c r="AD23" s="309" t="e">
        <f t="shared" si="8"/>
        <v>#DIV/0!</v>
      </c>
      <c r="AE23" s="4"/>
      <c r="AF23" s="4"/>
    </row>
    <row r="24" spans="1:32" ht="15.75" thickBot="1" x14ac:dyDescent="0.3">
      <c r="A24" s="4"/>
      <c r="B24" s="310" t="s">
        <v>17</v>
      </c>
      <c r="C24" s="311" t="s">
        <v>8</v>
      </c>
      <c r="D24" s="673">
        <f>SUM(D15:D21)</f>
        <v>5582.7</v>
      </c>
      <c r="E24" s="674">
        <f>SUM(E15:E21)</f>
        <v>44003.200000000004</v>
      </c>
      <c r="F24" s="674">
        <f>SUM(F15:F21)</f>
        <v>3551.2</v>
      </c>
      <c r="G24" s="675">
        <f>SUM(D24:F24)</f>
        <v>53137.1</v>
      </c>
      <c r="H24" s="676"/>
      <c r="I24" s="677"/>
      <c r="J24" s="678">
        <f>SUM(J15:J21)</f>
        <v>576.4</v>
      </c>
      <c r="K24" s="678">
        <f>SUM(K15:K21)</f>
        <v>53713.500000000007</v>
      </c>
      <c r="L24" s="673">
        <f>SUM(L15:L21)</f>
        <v>6231</v>
      </c>
      <c r="M24" s="674">
        <f>SUM(M15:M21)</f>
        <v>48405.5</v>
      </c>
      <c r="N24" s="674">
        <f>SUM(N15:N21)</f>
        <v>3187.3</v>
      </c>
      <c r="O24" s="675">
        <f>SUM(L24:N24)</f>
        <v>57823.8</v>
      </c>
      <c r="P24" s="678">
        <f>SUM(P15:P21)</f>
        <v>482</v>
      </c>
      <c r="Q24" s="678">
        <f>SUM(Q15:Q21)</f>
        <v>58305.8</v>
      </c>
      <c r="R24" s="673">
        <f>SUM(R15:R21)</f>
        <v>3357.3</v>
      </c>
      <c r="S24" s="674">
        <f>SUM(S15:S21)</f>
        <v>26054.6</v>
      </c>
      <c r="T24" s="674">
        <f>SUM(T15:T23)</f>
        <v>2429.6</v>
      </c>
      <c r="U24" s="675">
        <f>SUM(R24:T24)</f>
        <v>31841.499999999996</v>
      </c>
      <c r="V24" s="678">
        <f>SUM(V15:V21)</f>
        <v>401.1</v>
      </c>
      <c r="W24" s="678">
        <f>SUM(W15:W21)</f>
        <v>32242.599999999995</v>
      </c>
      <c r="X24" s="673">
        <f>SUM(X15:X21)</f>
        <v>7130.9</v>
      </c>
      <c r="Y24" s="674">
        <f>SUM(Y15:Y21)</f>
        <v>48839.6</v>
      </c>
      <c r="Z24" s="674">
        <f>SUM(Z15:Z23)</f>
        <v>3440</v>
      </c>
      <c r="AA24" s="675">
        <f>SUM(X24:Z24)</f>
        <v>59410.5</v>
      </c>
      <c r="AB24" s="678">
        <f>SUM(AB15:AB21)</f>
        <v>570</v>
      </c>
      <c r="AC24" s="678">
        <f>SUM(AC15:AC21)</f>
        <v>59980.5</v>
      </c>
      <c r="AD24" s="316">
        <f t="shared" si="8"/>
        <v>1.0287226999715293</v>
      </c>
      <c r="AE24" s="4"/>
      <c r="AF24" s="4"/>
    </row>
    <row r="25" spans="1:32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1"/>
      <c r="J25" s="321"/>
      <c r="K25" s="322"/>
      <c r="L25" s="319" t="s">
        <v>68</v>
      </c>
      <c r="M25" s="320"/>
      <c r="N25" s="320"/>
      <c r="O25" s="321"/>
      <c r="P25" s="321"/>
      <c r="Q25" s="322"/>
      <c r="R25" s="319" t="s">
        <v>68</v>
      </c>
      <c r="S25" s="320"/>
      <c r="T25" s="320"/>
      <c r="U25" s="321"/>
      <c r="V25" s="321"/>
      <c r="W25" s="322"/>
      <c r="X25" s="319" t="s">
        <v>68</v>
      </c>
      <c r="Y25" s="320"/>
      <c r="Z25" s="320"/>
      <c r="AA25" s="321"/>
      <c r="AB25" s="321"/>
      <c r="AC25" s="322"/>
      <c r="AD25" s="619" t="s">
        <v>99</v>
      </c>
      <c r="AE25" s="4"/>
      <c r="AF25" s="4"/>
    </row>
    <row r="26" spans="1:32" ht="15.75" thickBot="1" x14ac:dyDescent="0.3">
      <c r="A26" s="4"/>
      <c r="B26" s="324" t="s">
        <v>37</v>
      </c>
      <c r="C26" s="244" t="s">
        <v>38</v>
      </c>
      <c r="D26" s="679" t="s">
        <v>218</v>
      </c>
      <c r="E26" s="680"/>
      <c r="F26" s="680"/>
      <c r="G26" s="681" t="s">
        <v>64</v>
      </c>
      <c r="H26" s="682"/>
      <c r="I26" s="682"/>
      <c r="J26" s="683" t="s">
        <v>67</v>
      </c>
      <c r="K26" s="684" t="s">
        <v>68</v>
      </c>
      <c r="L26" s="679" t="s">
        <v>218</v>
      </c>
      <c r="M26" s="680"/>
      <c r="N26" s="680"/>
      <c r="O26" s="635" t="s">
        <v>64</v>
      </c>
      <c r="P26" s="683" t="s">
        <v>67</v>
      </c>
      <c r="Q26" s="684" t="s">
        <v>68</v>
      </c>
      <c r="R26" s="679" t="s">
        <v>218</v>
      </c>
      <c r="S26" s="680"/>
      <c r="T26" s="680"/>
      <c r="U26" s="635" t="s">
        <v>64</v>
      </c>
      <c r="V26" s="683" t="s">
        <v>67</v>
      </c>
      <c r="W26" s="684" t="s">
        <v>68</v>
      </c>
      <c r="X26" s="679" t="s">
        <v>218</v>
      </c>
      <c r="Y26" s="680"/>
      <c r="Z26" s="680"/>
      <c r="AA26" s="635" t="s">
        <v>64</v>
      </c>
      <c r="AB26" s="683" t="s">
        <v>67</v>
      </c>
      <c r="AC26" s="684" t="s">
        <v>68</v>
      </c>
      <c r="AD26" s="625"/>
      <c r="AE26" s="4"/>
      <c r="AF26" s="4"/>
    </row>
    <row r="27" spans="1:32" ht="15.75" thickBot="1" x14ac:dyDescent="0.3">
      <c r="A27" s="4"/>
      <c r="B27" s="330"/>
      <c r="C27" s="250"/>
      <c r="D27" s="685" t="s">
        <v>54</v>
      </c>
      <c r="E27" s="686" t="s">
        <v>55</v>
      </c>
      <c r="F27" s="687" t="s">
        <v>56</v>
      </c>
      <c r="G27" s="688"/>
      <c r="H27" s="689"/>
      <c r="I27" s="690"/>
      <c r="J27" s="691"/>
      <c r="K27" s="692"/>
      <c r="L27" s="685" t="s">
        <v>54</v>
      </c>
      <c r="M27" s="686" t="s">
        <v>55</v>
      </c>
      <c r="N27" s="687" t="s">
        <v>56</v>
      </c>
      <c r="O27" s="643"/>
      <c r="P27" s="691"/>
      <c r="Q27" s="692"/>
      <c r="R27" s="685" t="s">
        <v>54</v>
      </c>
      <c r="S27" s="686" t="s">
        <v>55</v>
      </c>
      <c r="T27" s="687" t="s">
        <v>56</v>
      </c>
      <c r="U27" s="643"/>
      <c r="V27" s="691"/>
      <c r="W27" s="692"/>
      <c r="X27" s="685" t="s">
        <v>54</v>
      </c>
      <c r="Y27" s="686" t="s">
        <v>55</v>
      </c>
      <c r="Z27" s="687" t="s">
        <v>56</v>
      </c>
      <c r="AA27" s="643"/>
      <c r="AB27" s="691"/>
      <c r="AC27" s="692"/>
      <c r="AD27" s="645"/>
      <c r="AE27" s="4"/>
      <c r="AF27" s="4"/>
    </row>
    <row r="28" spans="1:32" ht="15.75" thickBot="1" x14ac:dyDescent="0.3">
      <c r="A28" s="4"/>
      <c r="B28" s="275" t="s">
        <v>19</v>
      </c>
      <c r="C28" s="276" t="s">
        <v>10</v>
      </c>
      <c r="D28" s="693">
        <v>109.6</v>
      </c>
      <c r="E28" s="693">
        <v>0</v>
      </c>
      <c r="F28" s="693">
        <v>0</v>
      </c>
      <c r="G28" s="694">
        <f>SUM(D28:F28)</f>
        <v>109.6</v>
      </c>
      <c r="H28" s="695"/>
      <c r="I28" s="696"/>
      <c r="J28" s="697">
        <v>0</v>
      </c>
      <c r="K28" s="698">
        <f>G28+J28</f>
        <v>109.6</v>
      </c>
      <c r="L28" s="699">
        <v>260</v>
      </c>
      <c r="M28" s="693">
        <v>0</v>
      </c>
      <c r="N28" s="693">
        <v>12</v>
      </c>
      <c r="O28" s="697">
        <f>SUM(L28:N28)</f>
        <v>272</v>
      </c>
      <c r="P28" s="697">
        <v>5.3</v>
      </c>
      <c r="Q28" s="698">
        <f>O28+P28</f>
        <v>277.3</v>
      </c>
      <c r="R28" s="699">
        <v>80.8</v>
      </c>
      <c r="S28" s="693">
        <v>0</v>
      </c>
      <c r="T28" s="693">
        <v>0</v>
      </c>
      <c r="U28" s="697">
        <f>SUM(R28:T28)</f>
        <v>80.8</v>
      </c>
      <c r="V28" s="697">
        <v>0</v>
      </c>
      <c r="W28" s="698">
        <f>U28+V28</f>
        <v>80.8</v>
      </c>
      <c r="X28" s="700">
        <f>292</f>
        <v>292</v>
      </c>
      <c r="Y28" s="693">
        <v>0</v>
      </c>
      <c r="Z28" s="693">
        <v>0</v>
      </c>
      <c r="AA28" s="697">
        <f>SUM(X28:Z28)</f>
        <v>292</v>
      </c>
      <c r="AB28" s="697">
        <v>4</v>
      </c>
      <c r="AC28" s="698">
        <f>AA28+AB28</f>
        <v>296</v>
      </c>
      <c r="AD28" s="283">
        <f t="shared" ref="AD28:AD41" si="13">(AC28/Q28)</f>
        <v>1.0674359899026324</v>
      </c>
      <c r="AE28" s="4"/>
      <c r="AF28" s="4"/>
    </row>
    <row r="29" spans="1:32" x14ac:dyDescent="0.25">
      <c r="A29" s="4"/>
      <c r="B29" s="284" t="s">
        <v>20</v>
      </c>
      <c r="C29" s="299" t="s">
        <v>12</v>
      </c>
      <c r="D29" s="701">
        <v>640</v>
      </c>
      <c r="E29" s="701">
        <f>183.7+303.4+17.1</f>
        <v>504.2</v>
      </c>
      <c r="F29" s="701">
        <v>2135</v>
      </c>
      <c r="G29" s="702">
        <f>SUM(D29:F29)</f>
        <v>3279.2</v>
      </c>
      <c r="H29" s="703"/>
      <c r="I29" s="704"/>
      <c r="J29" s="705">
        <v>226.8</v>
      </c>
      <c r="K29" s="653">
        <f t="shared" ref="K29:K38" si="14">G29+J29</f>
        <v>3506</v>
      </c>
      <c r="L29" s="706">
        <v>661.2</v>
      </c>
      <c r="M29" s="701">
        <v>290</v>
      </c>
      <c r="N29" s="701">
        <v>2080</v>
      </c>
      <c r="O29" s="705">
        <f t="shared" ref="O29:O38" si="15">SUM(L29:N29)</f>
        <v>3031.2</v>
      </c>
      <c r="P29" s="705">
        <v>280</v>
      </c>
      <c r="Q29" s="653">
        <f t="shared" ref="Q29:Q38" si="16">O29+P29</f>
        <v>3311.2</v>
      </c>
      <c r="R29" s="706">
        <v>389.1</v>
      </c>
      <c r="S29" s="701">
        <v>68.599999999999994</v>
      </c>
      <c r="T29" s="701">
        <v>1406.3</v>
      </c>
      <c r="U29" s="705">
        <f t="shared" ref="U29:U38" si="17">SUM(R29:T29)</f>
        <v>1864</v>
      </c>
      <c r="V29" s="705">
        <v>177.3</v>
      </c>
      <c r="W29" s="653">
        <f t="shared" ref="W29:W38" si="18">U29+V29</f>
        <v>2041.3</v>
      </c>
      <c r="X29" s="707">
        <f>661+23.5+50</f>
        <v>734.5</v>
      </c>
      <c r="Y29" s="701">
        <f>239.1+78</f>
        <v>317.10000000000002</v>
      </c>
      <c r="Z29" s="701">
        <f>2170</f>
        <v>2170</v>
      </c>
      <c r="AA29" s="705">
        <f t="shared" ref="AA29:AA38" si="19">SUM(X29:Z29)</f>
        <v>3221.6</v>
      </c>
      <c r="AB29" s="705">
        <v>280</v>
      </c>
      <c r="AC29" s="653">
        <f t="shared" ref="AC29:AC38" si="20">AA29+AB29</f>
        <v>3501.6</v>
      </c>
      <c r="AD29" s="283">
        <f t="shared" si="13"/>
        <v>1.0575018120318918</v>
      </c>
      <c r="AE29" s="4"/>
      <c r="AF29" s="4"/>
    </row>
    <row r="30" spans="1:32" x14ac:dyDescent="0.25">
      <c r="A30" s="4"/>
      <c r="B30" s="284" t="s">
        <v>22</v>
      </c>
      <c r="C30" s="299" t="s">
        <v>14</v>
      </c>
      <c r="D30" s="701">
        <v>2291.1</v>
      </c>
      <c r="E30" s="701">
        <v>0</v>
      </c>
      <c r="F30" s="701">
        <v>0</v>
      </c>
      <c r="G30" s="702">
        <f t="shared" ref="G30:G38" si="21">SUM(D30:F30)</f>
        <v>2291.1</v>
      </c>
      <c r="H30" s="703"/>
      <c r="I30" s="704"/>
      <c r="J30" s="705">
        <v>107.2</v>
      </c>
      <c r="K30" s="653">
        <f t="shared" si="14"/>
        <v>2398.2999999999997</v>
      </c>
      <c r="L30" s="706">
        <v>2414.6999999999998</v>
      </c>
      <c r="M30" s="701">
        <v>0</v>
      </c>
      <c r="N30" s="701">
        <v>0</v>
      </c>
      <c r="O30" s="705">
        <f t="shared" si="15"/>
        <v>2414.6999999999998</v>
      </c>
      <c r="P30" s="705">
        <v>40</v>
      </c>
      <c r="Q30" s="653">
        <f t="shared" si="16"/>
        <v>2454.6999999999998</v>
      </c>
      <c r="R30" s="706">
        <v>1409.1</v>
      </c>
      <c r="S30" s="701">
        <v>0</v>
      </c>
      <c r="T30" s="701">
        <v>0</v>
      </c>
      <c r="U30" s="705">
        <f t="shared" si="17"/>
        <v>1409.1</v>
      </c>
      <c r="V30" s="705">
        <v>21.6</v>
      </c>
      <c r="W30" s="653">
        <f t="shared" si="18"/>
        <v>1430.6999999999998</v>
      </c>
      <c r="X30" s="706">
        <v>2414.6999999999998</v>
      </c>
      <c r="Y30" s="701">
        <v>0</v>
      </c>
      <c r="Z30" s="701">
        <v>0</v>
      </c>
      <c r="AA30" s="705">
        <f t="shared" si="19"/>
        <v>2414.6999999999998</v>
      </c>
      <c r="AB30" s="705">
        <v>45</v>
      </c>
      <c r="AC30" s="653">
        <f t="shared" si="20"/>
        <v>2459.6999999999998</v>
      </c>
      <c r="AD30" s="283">
        <f t="shared" si="13"/>
        <v>1.0020369087872245</v>
      </c>
      <c r="AE30" s="4"/>
      <c r="AF30" s="4"/>
    </row>
    <row r="31" spans="1:32" x14ac:dyDescent="0.25">
      <c r="A31" s="4"/>
      <c r="B31" s="284" t="s">
        <v>24</v>
      </c>
      <c r="C31" s="299" t="s">
        <v>16</v>
      </c>
      <c r="D31" s="701">
        <v>1024.4000000000001</v>
      </c>
      <c r="E31" s="701">
        <v>302.89999999999998</v>
      </c>
      <c r="F31" s="701">
        <v>59.4</v>
      </c>
      <c r="G31" s="702">
        <f t="shared" si="21"/>
        <v>1386.7000000000003</v>
      </c>
      <c r="H31" s="703"/>
      <c r="I31" s="704"/>
      <c r="J31" s="705">
        <v>0</v>
      </c>
      <c r="K31" s="653">
        <f t="shared" si="14"/>
        <v>1386.7000000000003</v>
      </c>
      <c r="L31" s="706">
        <v>1200.5999999999999</v>
      </c>
      <c r="M31" s="701">
        <v>95</v>
      </c>
      <c r="N31" s="701">
        <v>40</v>
      </c>
      <c r="O31" s="705">
        <f t="shared" si="15"/>
        <v>1335.6</v>
      </c>
      <c r="P31" s="705">
        <v>0</v>
      </c>
      <c r="Q31" s="653">
        <f t="shared" si="16"/>
        <v>1335.6</v>
      </c>
      <c r="R31" s="706">
        <v>697.5</v>
      </c>
      <c r="S31" s="701">
        <v>146.9</v>
      </c>
      <c r="T31" s="701">
        <v>9.9</v>
      </c>
      <c r="U31" s="705">
        <f t="shared" si="17"/>
        <v>854.3</v>
      </c>
      <c r="V31" s="705">
        <v>0</v>
      </c>
      <c r="W31" s="653">
        <f t="shared" si="18"/>
        <v>854.3</v>
      </c>
      <c r="X31" s="708">
        <f>1264.5+42+20.5+250</f>
        <v>1577</v>
      </c>
      <c r="Y31" s="701">
        <f>92+150</f>
        <v>242</v>
      </c>
      <c r="Z31" s="701">
        <f>45</f>
        <v>45</v>
      </c>
      <c r="AA31" s="705">
        <f t="shared" si="19"/>
        <v>1864</v>
      </c>
      <c r="AB31" s="705">
        <v>15</v>
      </c>
      <c r="AC31" s="653">
        <f t="shared" si="20"/>
        <v>1879</v>
      </c>
      <c r="AD31" s="283">
        <f t="shared" si="13"/>
        <v>1.406858340820605</v>
      </c>
      <c r="AE31" s="4"/>
      <c r="AF31" s="4"/>
    </row>
    <row r="32" spans="1:32" x14ac:dyDescent="0.25">
      <c r="A32" s="4"/>
      <c r="B32" s="284" t="s">
        <v>26</v>
      </c>
      <c r="C32" s="299" t="s">
        <v>18</v>
      </c>
      <c r="D32" s="709">
        <f>SUM(D33:D34)</f>
        <v>391.9</v>
      </c>
      <c r="E32" s="701">
        <f t="shared" ref="E32:F32" si="22">SUM(E33:E34)</f>
        <v>31509.8</v>
      </c>
      <c r="F32" s="709">
        <f t="shared" si="22"/>
        <v>3.5</v>
      </c>
      <c r="G32" s="702">
        <f t="shared" si="21"/>
        <v>31905.200000000001</v>
      </c>
      <c r="H32" s="703"/>
      <c r="I32" s="704"/>
      <c r="J32" s="705">
        <f>SUM(J33:J34)</f>
        <v>88.9</v>
      </c>
      <c r="K32" s="653">
        <f t="shared" si="14"/>
        <v>31994.100000000002</v>
      </c>
      <c r="L32" s="710">
        <f>SUM(L33:L34)</f>
        <v>398.8</v>
      </c>
      <c r="M32" s="701">
        <f>SUM(M33:M34)</f>
        <v>35040.6</v>
      </c>
      <c r="N32" s="701">
        <v>0</v>
      </c>
      <c r="O32" s="705">
        <f t="shared" si="15"/>
        <v>35439.4</v>
      </c>
      <c r="P32" s="705">
        <f>SUM(P33:P34)</f>
        <v>144</v>
      </c>
      <c r="Q32" s="653">
        <f t="shared" si="16"/>
        <v>35583.4</v>
      </c>
      <c r="R32" s="710">
        <f>SUM(R33:R34)</f>
        <v>168.8</v>
      </c>
      <c r="S32" s="701">
        <f>SUM(S33:S34)</f>
        <v>16584.099999999999</v>
      </c>
      <c r="T32" s="701">
        <v>0</v>
      </c>
      <c r="U32" s="705">
        <f t="shared" si="17"/>
        <v>16752.899999999998</v>
      </c>
      <c r="V32" s="705">
        <f>SUM(V33:V34)</f>
        <v>135.20000000000002</v>
      </c>
      <c r="W32" s="653">
        <f t="shared" si="18"/>
        <v>16888.099999999999</v>
      </c>
      <c r="X32" s="706">
        <f>SUM(X33:X34)</f>
        <v>400.8</v>
      </c>
      <c r="Y32" s="701">
        <f>SUM(Y33:Y34)</f>
        <v>34880.400000000001</v>
      </c>
      <c r="Z32" s="701">
        <f>SUM(Z33:Z34)</f>
        <v>10</v>
      </c>
      <c r="AA32" s="705">
        <f t="shared" si="19"/>
        <v>35291.200000000004</v>
      </c>
      <c r="AB32" s="705">
        <f>SUM(AB33:AB34)</f>
        <v>154</v>
      </c>
      <c r="AC32" s="653">
        <f t="shared" si="20"/>
        <v>35445.200000000004</v>
      </c>
      <c r="AD32" s="283">
        <f t="shared" si="13"/>
        <v>0.99611616652708856</v>
      </c>
      <c r="AE32" s="4"/>
      <c r="AF32" s="4"/>
    </row>
    <row r="33" spans="1:32" x14ac:dyDescent="0.25">
      <c r="A33" s="4"/>
      <c r="B33" s="284" t="s">
        <v>28</v>
      </c>
      <c r="C33" s="295" t="s">
        <v>42</v>
      </c>
      <c r="D33" s="709">
        <v>301.39999999999998</v>
      </c>
      <c r="E33" s="701">
        <v>31082.5</v>
      </c>
      <c r="F33" s="701">
        <v>3.5</v>
      </c>
      <c r="G33" s="702">
        <f t="shared" si="21"/>
        <v>31387.4</v>
      </c>
      <c r="H33" s="703"/>
      <c r="I33" s="704"/>
      <c r="J33" s="705">
        <v>31.6</v>
      </c>
      <c r="K33" s="653">
        <f t="shared" si="14"/>
        <v>31419</v>
      </c>
      <c r="L33" s="710">
        <v>288.8</v>
      </c>
      <c r="M33" s="701">
        <v>34587</v>
      </c>
      <c r="N33" s="701">
        <v>0</v>
      </c>
      <c r="O33" s="705">
        <f t="shared" si="15"/>
        <v>34875.800000000003</v>
      </c>
      <c r="P33" s="705">
        <v>44</v>
      </c>
      <c r="Q33" s="653">
        <f t="shared" si="16"/>
        <v>34919.800000000003</v>
      </c>
      <c r="R33" s="710">
        <f>95+58</f>
        <v>153</v>
      </c>
      <c r="S33" s="701">
        <v>16146.6</v>
      </c>
      <c r="T33" s="701">
        <v>0</v>
      </c>
      <c r="U33" s="705">
        <f t="shared" si="17"/>
        <v>16299.6</v>
      </c>
      <c r="V33" s="705">
        <v>27.3</v>
      </c>
      <c r="W33" s="653">
        <f t="shared" si="18"/>
        <v>16326.9</v>
      </c>
      <c r="X33" s="708">
        <v>290.8</v>
      </c>
      <c r="Y33" s="701">
        <f>32318+1646+250+330</f>
        <v>34544</v>
      </c>
      <c r="Z33" s="701">
        <v>10</v>
      </c>
      <c r="AA33" s="705">
        <f t="shared" si="19"/>
        <v>34844.800000000003</v>
      </c>
      <c r="AB33" s="705">
        <v>44</v>
      </c>
      <c r="AC33" s="653">
        <f t="shared" si="20"/>
        <v>34888.800000000003</v>
      </c>
      <c r="AD33" s="283">
        <f t="shared" si="13"/>
        <v>0.99911225150201322</v>
      </c>
      <c r="AE33" s="4"/>
      <c r="AF33" s="4"/>
    </row>
    <row r="34" spans="1:32" x14ac:dyDescent="0.25">
      <c r="A34" s="4"/>
      <c r="B34" s="284" t="s">
        <v>30</v>
      </c>
      <c r="C34" s="349" t="s">
        <v>21</v>
      </c>
      <c r="D34" s="709">
        <v>90.5</v>
      </c>
      <c r="E34" s="701">
        <f>12+67.8+25.8+54+95.7+100.2+71.8</f>
        <v>427.3</v>
      </c>
      <c r="F34" s="701">
        <v>0</v>
      </c>
      <c r="G34" s="702">
        <f t="shared" si="21"/>
        <v>517.79999999999995</v>
      </c>
      <c r="H34" s="703"/>
      <c r="I34" s="704"/>
      <c r="J34" s="705">
        <v>57.3</v>
      </c>
      <c r="K34" s="653">
        <f t="shared" si="14"/>
        <v>575.09999999999991</v>
      </c>
      <c r="L34" s="710">
        <v>110</v>
      </c>
      <c r="M34" s="701">
        <v>453.6</v>
      </c>
      <c r="N34" s="701">
        <v>0</v>
      </c>
      <c r="O34" s="705">
        <f>SUM(L34:N34)</f>
        <v>563.6</v>
      </c>
      <c r="P34" s="705">
        <v>100</v>
      </c>
      <c r="Q34" s="653">
        <f t="shared" si="16"/>
        <v>663.6</v>
      </c>
      <c r="R34" s="710">
        <v>15.8</v>
      </c>
      <c r="S34" s="701">
        <v>437.5</v>
      </c>
      <c r="T34" s="701">
        <v>0</v>
      </c>
      <c r="U34" s="705">
        <f t="shared" si="17"/>
        <v>453.3</v>
      </c>
      <c r="V34" s="705">
        <f>44.9+63</f>
        <v>107.9</v>
      </c>
      <c r="W34" s="653">
        <f t="shared" si="18"/>
        <v>561.20000000000005</v>
      </c>
      <c r="X34" s="706">
        <f>110</f>
        <v>110</v>
      </c>
      <c r="Y34" s="701">
        <f>180+ 76.4+80</f>
        <v>336.4</v>
      </c>
      <c r="Z34" s="701">
        <v>0</v>
      </c>
      <c r="AA34" s="705">
        <f t="shared" si="19"/>
        <v>446.4</v>
      </c>
      <c r="AB34" s="705">
        <v>110</v>
      </c>
      <c r="AC34" s="653">
        <f t="shared" si="20"/>
        <v>556.4</v>
      </c>
      <c r="AD34" s="283">
        <f t="shared" si="13"/>
        <v>0.83845690174804088</v>
      </c>
      <c r="AE34" s="4"/>
      <c r="AF34" s="4"/>
    </row>
    <row r="35" spans="1:32" x14ac:dyDescent="0.25">
      <c r="A35" s="4"/>
      <c r="B35" s="284" t="s">
        <v>32</v>
      </c>
      <c r="C35" s="299" t="s">
        <v>23</v>
      </c>
      <c r="D35" s="709">
        <v>126.8</v>
      </c>
      <c r="E35" s="701">
        <v>10256.700000000001</v>
      </c>
      <c r="F35" s="701">
        <v>1.2</v>
      </c>
      <c r="G35" s="702">
        <f t="shared" si="21"/>
        <v>10384.700000000001</v>
      </c>
      <c r="H35" s="703"/>
      <c r="I35" s="704"/>
      <c r="J35" s="705">
        <v>10.7</v>
      </c>
      <c r="K35" s="653">
        <f t="shared" si="14"/>
        <v>10395.400000000001</v>
      </c>
      <c r="L35" s="710">
        <v>109.7</v>
      </c>
      <c r="M35" s="701">
        <v>11603.4</v>
      </c>
      <c r="N35" s="701">
        <v>0</v>
      </c>
      <c r="O35" s="705">
        <f t="shared" si="15"/>
        <v>11713.1</v>
      </c>
      <c r="P35" s="705">
        <v>11.7</v>
      </c>
      <c r="Q35" s="653">
        <f t="shared" si="16"/>
        <v>11724.800000000001</v>
      </c>
      <c r="R35" s="710">
        <v>54.7</v>
      </c>
      <c r="S35" s="701">
        <v>5361.6</v>
      </c>
      <c r="T35" s="701">
        <v>0</v>
      </c>
      <c r="U35" s="705">
        <f t="shared" si="17"/>
        <v>5416.3</v>
      </c>
      <c r="V35" s="705">
        <v>30.5</v>
      </c>
      <c r="W35" s="653">
        <f t="shared" si="18"/>
        <v>5446.8</v>
      </c>
      <c r="X35" s="708">
        <f>12.6+98.3</f>
        <v>110.89999999999999</v>
      </c>
      <c r="Y35" s="701">
        <f>10984.3+556.3+105</f>
        <v>11645.599999999999</v>
      </c>
      <c r="Z35" s="701">
        <v>0</v>
      </c>
      <c r="AA35" s="705">
        <f t="shared" si="19"/>
        <v>11756.499999999998</v>
      </c>
      <c r="AB35" s="705">
        <v>11.7</v>
      </c>
      <c r="AC35" s="653">
        <f t="shared" si="20"/>
        <v>11768.199999999999</v>
      </c>
      <c r="AD35" s="283">
        <f t="shared" si="13"/>
        <v>1.0037015556768558</v>
      </c>
      <c r="AE35" s="4"/>
      <c r="AF35" s="4"/>
    </row>
    <row r="36" spans="1:32" x14ac:dyDescent="0.25">
      <c r="A36" s="4"/>
      <c r="B36" s="284" t="s">
        <v>33</v>
      </c>
      <c r="C36" s="299" t="s">
        <v>25</v>
      </c>
      <c r="D36" s="701">
        <v>0</v>
      </c>
      <c r="E36" s="701">
        <v>0</v>
      </c>
      <c r="F36" s="701">
        <v>0</v>
      </c>
      <c r="G36" s="702">
        <f t="shared" si="21"/>
        <v>0</v>
      </c>
      <c r="H36" s="703"/>
      <c r="I36" s="704"/>
      <c r="J36" s="705">
        <v>0</v>
      </c>
      <c r="K36" s="653">
        <f t="shared" si="14"/>
        <v>0</v>
      </c>
      <c r="L36" s="706">
        <v>0</v>
      </c>
      <c r="M36" s="701">
        <v>0</v>
      </c>
      <c r="N36" s="701">
        <v>0</v>
      </c>
      <c r="O36" s="705">
        <f t="shared" si="15"/>
        <v>0</v>
      </c>
      <c r="P36" s="705">
        <v>0</v>
      </c>
      <c r="Q36" s="653">
        <f t="shared" si="16"/>
        <v>0</v>
      </c>
      <c r="R36" s="706">
        <v>0</v>
      </c>
      <c r="S36" s="701">
        <v>0</v>
      </c>
      <c r="T36" s="701">
        <v>0</v>
      </c>
      <c r="U36" s="705">
        <f t="shared" si="17"/>
        <v>0</v>
      </c>
      <c r="V36" s="705">
        <v>0</v>
      </c>
      <c r="W36" s="653">
        <f t="shared" si="18"/>
        <v>0</v>
      </c>
      <c r="X36" s="706">
        <v>0</v>
      </c>
      <c r="Y36" s="701">
        <v>0</v>
      </c>
      <c r="Z36" s="701">
        <v>2</v>
      </c>
      <c r="AA36" s="705">
        <f t="shared" si="19"/>
        <v>2</v>
      </c>
      <c r="AB36" s="705">
        <v>0</v>
      </c>
      <c r="AC36" s="653">
        <f t="shared" si="20"/>
        <v>2</v>
      </c>
      <c r="AD36" s="283" t="e">
        <f t="shared" si="13"/>
        <v>#DIV/0!</v>
      </c>
      <c r="AE36" s="4"/>
      <c r="AF36" s="4"/>
    </row>
    <row r="37" spans="1:32" x14ac:dyDescent="0.25">
      <c r="A37" s="4"/>
      <c r="B37" s="284" t="s">
        <v>34</v>
      </c>
      <c r="C37" s="299" t="s">
        <v>27</v>
      </c>
      <c r="D37" s="701">
        <v>927.9</v>
      </c>
      <c r="E37" s="701">
        <v>0</v>
      </c>
      <c r="F37" s="701">
        <v>897.3</v>
      </c>
      <c r="G37" s="702">
        <f t="shared" si="21"/>
        <v>1825.1999999999998</v>
      </c>
      <c r="H37" s="703"/>
      <c r="I37" s="704"/>
      <c r="J37" s="705">
        <v>0</v>
      </c>
      <c r="K37" s="653">
        <f t="shared" si="14"/>
        <v>1825.1999999999998</v>
      </c>
      <c r="L37" s="706">
        <v>990</v>
      </c>
      <c r="M37" s="701">
        <v>0</v>
      </c>
      <c r="N37" s="701">
        <v>897.3</v>
      </c>
      <c r="O37" s="705">
        <f t="shared" si="15"/>
        <v>1887.3</v>
      </c>
      <c r="P37" s="705">
        <v>0</v>
      </c>
      <c r="Q37" s="653">
        <f t="shared" si="16"/>
        <v>1887.3</v>
      </c>
      <c r="R37" s="706">
        <v>503.2</v>
      </c>
      <c r="S37" s="701">
        <v>0</v>
      </c>
      <c r="T37" s="701">
        <v>487.4</v>
      </c>
      <c r="U37" s="705">
        <f t="shared" si="17"/>
        <v>990.59999999999991</v>
      </c>
      <c r="V37" s="705">
        <v>0</v>
      </c>
      <c r="W37" s="653">
        <f t="shared" si="18"/>
        <v>990.59999999999991</v>
      </c>
      <c r="X37" s="708">
        <v>996.4</v>
      </c>
      <c r="Y37" s="701">
        <v>0</v>
      </c>
      <c r="Z37" s="701">
        <v>1030</v>
      </c>
      <c r="AA37" s="705">
        <f>SUM(X37:Z37)</f>
        <v>2026.4</v>
      </c>
      <c r="AB37" s="705">
        <v>0</v>
      </c>
      <c r="AC37" s="653">
        <f t="shared" si="20"/>
        <v>2026.4</v>
      </c>
      <c r="AD37" s="283">
        <f t="shared" si="13"/>
        <v>1.0737031738462355</v>
      </c>
      <c r="AE37" s="4"/>
      <c r="AF37" s="4"/>
    </row>
    <row r="38" spans="1:32" ht="15.75" thickBot="1" x14ac:dyDescent="0.3">
      <c r="A38" s="4"/>
      <c r="B38" s="502" t="s">
        <v>35</v>
      </c>
      <c r="C38" s="350" t="s">
        <v>29</v>
      </c>
      <c r="D38" s="711">
        <f>27+0.8+53.2+115.4+17.8+24.2-0.8</f>
        <v>237.6</v>
      </c>
      <c r="E38" s="711">
        <f>1.6+18.6+136.2+747.7+797.2+12.7</f>
        <v>1714.0000000000002</v>
      </c>
      <c r="F38" s="711">
        <v>0</v>
      </c>
      <c r="G38" s="702">
        <f t="shared" si="21"/>
        <v>1951.6000000000001</v>
      </c>
      <c r="H38" s="712"/>
      <c r="I38" s="713"/>
      <c r="J38" s="714">
        <v>0.6</v>
      </c>
      <c r="K38" s="671">
        <f t="shared" si="14"/>
        <v>1952.2</v>
      </c>
      <c r="L38" s="715">
        <v>196</v>
      </c>
      <c r="M38" s="711">
        <v>1376.5</v>
      </c>
      <c r="N38" s="711">
        <v>158</v>
      </c>
      <c r="O38" s="714">
        <f t="shared" si="15"/>
        <v>1730.5</v>
      </c>
      <c r="P38" s="714">
        <v>1</v>
      </c>
      <c r="Q38" s="671">
        <f t="shared" si="16"/>
        <v>1731.5</v>
      </c>
      <c r="R38" s="715">
        <f>34.8+79.9+13.3+29.8+1.6-2.3</f>
        <v>157.1</v>
      </c>
      <c r="S38" s="711">
        <f>2.6+1.4+0.9+71.9+361.5+44.1</f>
        <v>482.40000000000003</v>
      </c>
      <c r="T38" s="711">
        <f>18.3</f>
        <v>18.3</v>
      </c>
      <c r="U38" s="714">
        <f t="shared" si="17"/>
        <v>657.8</v>
      </c>
      <c r="V38" s="714">
        <v>0.5</v>
      </c>
      <c r="W38" s="671">
        <f t="shared" si="18"/>
        <v>658.3</v>
      </c>
      <c r="X38" s="716">
        <f>130+125+40+1+24+0.5+22.2+6+0.1+(5.8)+100+150</f>
        <v>604.6</v>
      </c>
      <c r="Y38" s="711">
        <f>320+32.9+100+266.6+1000+35</f>
        <v>1754.5</v>
      </c>
      <c r="Z38" s="711">
        <v>183</v>
      </c>
      <c r="AA38" s="714">
        <f t="shared" si="19"/>
        <v>2542.1</v>
      </c>
      <c r="AB38" s="714">
        <v>60.3</v>
      </c>
      <c r="AC38" s="671">
        <f t="shared" si="20"/>
        <v>2602.4</v>
      </c>
      <c r="AD38" s="309">
        <f t="shared" si="13"/>
        <v>1.5029742997401099</v>
      </c>
      <c r="AE38" s="4"/>
      <c r="AF38" s="4"/>
    </row>
    <row r="39" spans="1:32" ht="15.75" thickBot="1" x14ac:dyDescent="0.3">
      <c r="A39" s="4"/>
      <c r="B39" s="310" t="s">
        <v>48</v>
      </c>
      <c r="C39" s="354" t="s">
        <v>31</v>
      </c>
      <c r="D39" s="717">
        <f>SUM(D35:D38)+SUM(D28:D32)</f>
        <v>5749.3</v>
      </c>
      <c r="E39" s="717">
        <f>SUM(E35:E38)+SUM(E28:E32)</f>
        <v>44287.6</v>
      </c>
      <c r="F39" s="717">
        <f>SUM(F35:F38)+SUM(F28:F32)</f>
        <v>3096.4</v>
      </c>
      <c r="G39" s="718">
        <f>SUM(D39:F39)</f>
        <v>53133.3</v>
      </c>
      <c r="H39" s="719"/>
      <c r="I39" s="720"/>
      <c r="J39" s="721">
        <f>SUM(J28:J32)+SUM(J35:J38)</f>
        <v>434.2</v>
      </c>
      <c r="K39" s="722">
        <f>SUM(K35:K38)+SUM(K28:K32)</f>
        <v>53567.500000000007</v>
      </c>
      <c r="L39" s="717">
        <f>SUM(L35:L38)+SUM(L28:L32)</f>
        <v>6231</v>
      </c>
      <c r="M39" s="717">
        <f>SUM(M35:M38)+SUM(M28:M32)</f>
        <v>48405.5</v>
      </c>
      <c r="N39" s="717">
        <f>SUM(N35:N38)+SUM(N28:N32)</f>
        <v>3187.3</v>
      </c>
      <c r="O39" s="723">
        <f>SUM(L39:N39)</f>
        <v>57823.8</v>
      </c>
      <c r="P39" s="721">
        <f>SUM(P28:P32)+SUM(P35:P38)</f>
        <v>482</v>
      </c>
      <c r="Q39" s="722">
        <f>SUM(Q35:Q38)+SUM(Q28:Q32)</f>
        <v>58305.799999999996</v>
      </c>
      <c r="R39" s="717">
        <f>SUM(R35:R38)+SUM(R28:R32)</f>
        <v>3460.3</v>
      </c>
      <c r="S39" s="717">
        <f>SUM(S35:S38)+SUM(S28:S32)</f>
        <v>22643.599999999999</v>
      </c>
      <c r="T39" s="717">
        <f>SUM(T35:T38)+SUM(T28:T32)</f>
        <v>1921.9</v>
      </c>
      <c r="U39" s="723">
        <f>SUM(R39:T39)</f>
        <v>28025.8</v>
      </c>
      <c r="V39" s="721">
        <f>SUM(V28:V32)+SUM(V35:V38)</f>
        <v>365.1</v>
      </c>
      <c r="W39" s="722">
        <f>SUM(W35:W38)+SUM(W28:W32)</f>
        <v>28390.899999999998</v>
      </c>
      <c r="X39" s="717">
        <f>SUM(X35:X38)+SUM(X28:X32)</f>
        <v>7130.9</v>
      </c>
      <c r="Y39" s="717">
        <f>SUM(Y35:Y38)+SUM(Y28:Y32)</f>
        <v>48839.6</v>
      </c>
      <c r="Z39" s="717">
        <f>SUM(Z35:Z38)+SUM(Z28:Z32)</f>
        <v>3440</v>
      </c>
      <c r="AA39" s="723">
        <f>SUM(X39:Z39)</f>
        <v>59410.5</v>
      </c>
      <c r="AB39" s="721">
        <f>SUM(AB28:AB32)+SUM(AB35:AB38)</f>
        <v>570</v>
      </c>
      <c r="AC39" s="722">
        <f>SUM(AC35:AC38)+SUM(AC28:AC32)</f>
        <v>59980.5</v>
      </c>
      <c r="AD39" s="359">
        <f t="shared" si="13"/>
        <v>1.0287226999715295</v>
      </c>
      <c r="AE39" s="4"/>
      <c r="AF39" s="4"/>
    </row>
    <row r="40" spans="1:32" ht="19.5" thickBot="1" x14ac:dyDescent="0.35">
      <c r="A40" s="4"/>
      <c r="B40" s="360" t="s">
        <v>49</v>
      </c>
      <c r="C40" s="361" t="s">
        <v>51</v>
      </c>
      <c r="D40" s="362">
        <f>D24-D39</f>
        <v>-166.60000000000036</v>
      </c>
      <c r="E40" s="362">
        <f>E24-E39</f>
        <v>-284.39999999999418</v>
      </c>
      <c r="F40" s="362">
        <f>F24-F39</f>
        <v>454.79999999999973</v>
      </c>
      <c r="G40" s="363">
        <f>G24-G39</f>
        <v>3.7999999999956344</v>
      </c>
      <c r="H40" s="724"/>
      <c r="I40" s="724"/>
      <c r="J40" s="363">
        <f t="shared" ref="J40:W40" si="23">J24-J39</f>
        <v>142.19999999999999</v>
      </c>
      <c r="K40" s="364">
        <f>K24-K39</f>
        <v>146</v>
      </c>
      <c r="L40" s="362">
        <f t="shared" si="23"/>
        <v>0</v>
      </c>
      <c r="M40" s="362">
        <f t="shared" si="23"/>
        <v>0</v>
      </c>
      <c r="N40" s="362">
        <f t="shared" si="23"/>
        <v>0</v>
      </c>
      <c r="O40" s="363">
        <f t="shared" si="23"/>
        <v>0</v>
      </c>
      <c r="P40" s="363">
        <f t="shared" si="23"/>
        <v>0</v>
      </c>
      <c r="Q40" s="364">
        <f t="shared" si="23"/>
        <v>0</v>
      </c>
      <c r="R40" s="362">
        <f t="shared" si="23"/>
        <v>-103</v>
      </c>
      <c r="S40" s="362">
        <f t="shared" si="23"/>
        <v>3411</v>
      </c>
      <c r="T40" s="362">
        <f t="shared" si="23"/>
        <v>507.69999999999982</v>
      </c>
      <c r="U40" s="363">
        <f t="shared" si="23"/>
        <v>3815.6999999999971</v>
      </c>
      <c r="V40" s="363">
        <f t="shared" si="23"/>
        <v>36</v>
      </c>
      <c r="W40" s="364">
        <f t="shared" si="23"/>
        <v>3851.6999999999971</v>
      </c>
      <c r="X40" s="362">
        <f>X24-X39</f>
        <v>0</v>
      </c>
      <c r="Y40" s="362">
        <f t="shared" ref="Y40:AC40" si="24">Y24-Y39</f>
        <v>0</v>
      </c>
      <c r="Z40" s="362">
        <f>Z24-Z39</f>
        <v>0</v>
      </c>
      <c r="AA40" s="363">
        <f t="shared" si="24"/>
        <v>0</v>
      </c>
      <c r="AB40" s="363">
        <f t="shared" si="24"/>
        <v>0</v>
      </c>
      <c r="AC40" s="364">
        <f t="shared" si="24"/>
        <v>0</v>
      </c>
      <c r="AD40" s="365" t="e">
        <f t="shared" si="13"/>
        <v>#DIV/0!</v>
      </c>
      <c r="AE40" s="4"/>
      <c r="AF40" s="4"/>
    </row>
    <row r="41" spans="1:32" ht="15.75" thickBot="1" x14ac:dyDescent="0.3">
      <c r="A41" s="4"/>
      <c r="B41" s="366" t="s">
        <v>50</v>
      </c>
      <c r="C41" s="367" t="s">
        <v>65</v>
      </c>
      <c r="D41" s="368"/>
      <c r="E41" s="369"/>
      <c r="F41" s="369"/>
      <c r="G41" s="725"/>
      <c r="H41" s="726"/>
      <c r="I41" s="726"/>
      <c r="J41" s="371"/>
      <c r="K41" s="372">
        <f>K40-D16</f>
        <v>-4914</v>
      </c>
      <c r="L41" s="368"/>
      <c r="M41" s="369"/>
      <c r="N41" s="369"/>
      <c r="O41" s="370"/>
      <c r="P41" s="373"/>
      <c r="Q41" s="372">
        <f>Q40-L16</f>
        <v>-5747.7</v>
      </c>
      <c r="R41" s="368"/>
      <c r="S41" s="369"/>
      <c r="T41" s="369"/>
      <c r="U41" s="370"/>
      <c r="V41" s="373"/>
      <c r="W41" s="372">
        <f>W40-R16</f>
        <v>977.69999999999709</v>
      </c>
      <c r="X41" s="368"/>
      <c r="Y41" s="369"/>
      <c r="Z41" s="369"/>
      <c r="AA41" s="370"/>
      <c r="AB41" s="373"/>
      <c r="AC41" s="372">
        <f>AC40-X16</f>
        <v>-6100</v>
      </c>
      <c r="AD41" s="283">
        <f t="shared" si="13"/>
        <v>1.0612940828505315</v>
      </c>
      <c r="AE41" s="4"/>
      <c r="AF41" s="4"/>
    </row>
    <row r="42" spans="1:32" ht="8.25" customHeight="1" thickBot="1" x14ac:dyDescent="0.3">
      <c r="A42" s="4"/>
      <c r="B42" s="374"/>
      <c r="C42" s="375"/>
      <c r="D42" s="376"/>
      <c r="E42" s="377"/>
      <c r="F42" s="377"/>
      <c r="G42" s="4"/>
      <c r="H42" s="4"/>
      <c r="I42" s="4"/>
      <c r="J42" s="377"/>
      <c r="K42" s="377"/>
      <c r="L42" s="376"/>
      <c r="M42" s="377"/>
      <c r="N42" s="377"/>
      <c r="O42" s="4"/>
      <c r="P42" s="377"/>
      <c r="Q42" s="377"/>
      <c r="R42" s="377"/>
      <c r="S42" s="377"/>
      <c r="T42" s="377"/>
      <c r="U42" s="377"/>
      <c r="V42" s="377"/>
      <c r="W42" s="377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5.75" customHeight="1" thickBot="1" x14ac:dyDescent="0.3">
      <c r="A43" s="4"/>
      <c r="B43" s="374"/>
      <c r="C43" s="378" t="s">
        <v>82</v>
      </c>
      <c r="D43" s="106" t="s">
        <v>41</v>
      </c>
      <c r="E43" s="379" t="s">
        <v>83</v>
      </c>
      <c r="F43" s="380" t="s">
        <v>36</v>
      </c>
      <c r="G43" s="377"/>
      <c r="H43" s="377"/>
      <c r="I43" s="377"/>
      <c r="J43" s="377"/>
      <c r="K43" s="381"/>
      <c r="L43" s="106" t="s">
        <v>41</v>
      </c>
      <c r="M43" s="379" t="s">
        <v>83</v>
      </c>
      <c r="N43" s="380" t="s">
        <v>36</v>
      </c>
      <c r="O43" s="377"/>
      <c r="P43" s="377"/>
      <c r="Q43" s="377"/>
      <c r="R43" s="106" t="s">
        <v>41</v>
      </c>
      <c r="S43" s="379" t="s">
        <v>83</v>
      </c>
      <c r="T43" s="380" t="s">
        <v>36</v>
      </c>
      <c r="U43" s="727"/>
      <c r="V43" s="4"/>
      <c r="W43" s="4"/>
      <c r="X43" s="106" t="s">
        <v>41</v>
      </c>
      <c r="Y43" s="379" t="s">
        <v>83</v>
      </c>
      <c r="Z43" s="380" t="s">
        <v>36</v>
      </c>
      <c r="AA43" s="4"/>
      <c r="AB43" s="4"/>
      <c r="AC43" s="4"/>
      <c r="AD43" s="4"/>
      <c r="AE43" s="4"/>
      <c r="AF43" s="4"/>
    </row>
    <row r="44" spans="1:32" ht="15.75" thickBot="1" x14ac:dyDescent="0.3">
      <c r="A44" s="4"/>
      <c r="B44" s="374"/>
      <c r="C44" s="382"/>
      <c r="D44" s="728">
        <f>SUM(E44:F44)</f>
        <v>642.1</v>
      </c>
      <c r="E44" s="729">
        <v>642.1</v>
      </c>
      <c r="F44" s="730"/>
      <c r="G44" s="731"/>
      <c r="H44" s="731"/>
      <c r="I44" s="731"/>
      <c r="J44" s="731"/>
      <c r="K44" s="732"/>
      <c r="L44" s="728">
        <f>SUM(M44:N44)</f>
        <v>642.1</v>
      </c>
      <c r="M44" s="729">
        <v>642.1</v>
      </c>
      <c r="N44" s="730">
        <v>0</v>
      </c>
      <c r="O44" s="733"/>
      <c r="P44" s="733"/>
      <c r="Q44" s="733"/>
      <c r="R44" s="728">
        <v>321</v>
      </c>
      <c r="S44" s="729">
        <v>321</v>
      </c>
      <c r="T44" s="730">
        <v>0</v>
      </c>
      <c r="U44" s="241"/>
      <c r="V44" s="241"/>
      <c r="W44" s="241"/>
      <c r="X44" s="734">
        <v>639.9</v>
      </c>
      <c r="Y44" s="729">
        <v>639.9</v>
      </c>
      <c r="Z44" s="730">
        <v>0</v>
      </c>
      <c r="AA44" s="241"/>
      <c r="AB44" s="4"/>
      <c r="AC44" s="4"/>
      <c r="AD44" s="4"/>
      <c r="AE44" s="4"/>
      <c r="AF44" s="4"/>
    </row>
    <row r="45" spans="1:32" ht="8.25" customHeight="1" thickBot="1" x14ac:dyDescent="0.3">
      <c r="A45" s="4"/>
      <c r="B45" s="374"/>
      <c r="C45" s="375"/>
      <c r="D45" s="733"/>
      <c r="E45" s="731"/>
      <c r="F45" s="731"/>
      <c r="G45" s="731"/>
      <c r="H45" s="731"/>
      <c r="I45" s="731"/>
      <c r="J45" s="731"/>
      <c r="K45" s="732"/>
      <c r="L45" s="731"/>
      <c r="M45" s="731"/>
      <c r="N45" s="731"/>
      <c r="O45" s="731"/>
      <c r="P45" s="731"/>
      <c r="Q45" s="732"/>
      <c r="R45" s="732"/>
      <c r="S45" s="732"/>
      <c r="T45" s="732"/>
      <c r="U45" s="732"/>
      <c r="V45" s="732"/>
      <c r="W45" s="732"/>
      <c r="X45" s="241"/>
      <c r="Y45" s="241"/>
      <c r="Z45" s="241"/>
      <c r="AA45" s="241"/>
      <c r="AB45" s="4"/>
      <c r="AC45" s="4"/>
      <c r="AD45" s="4"/>
      <c r="AE45" s="4"/>
      <c r="AF45" s="4"/>
    </row>
    <row r="46" spans="1:32" ht="37.5" customHeight="1" thickBot="1" x14ac:dyDescent="0.3">
      <c r="A46" s="4"/>
      <c r="B46" s="374"/>
      <c r="C46" s="378" t="s">
        <v>85</v>
      </c>
      <c r="D46" s="735" t="s">
        <v>86</v>
      </c>
      <c r="E46" s="736" t="s">
        <v>84</v>
      </c>
      <c r="F46" s="731"/>
      <c r="G46" s="731"/>
      <c r="H46" s="731"/>
      <c r="I46" s="731"/>
      <c r="J46" s="731"/>
      <c r="K46" s="732"/>
      <c r="L46" s="735" t="s">
        <v>86</v>
      </c>
      <c r="M46" s="736" t="s">
        <v>84</v>
      </c>
      <c r="N46" s="737"/>
      <c r="O46" s="737"/>
      <c r="P46" s="241"/>
      <c r="Q46" s="241"/>
      <c r="R46" s="735" t="s">
        <v>86</v>
      </c>
      <c r="S46" s="736" t="s">
        <v>84</v>
      </c>
      <c r="T46" s="241"/>
      <c r="U46" s="241"/>
      <c r="V46" s="241"/>
      <c r="W46" s="241"/>
      <c r="X46" s="735" t="s">
        <v>86</v>
      </c>
      <c r="Y46" s="736" t="s">
        <v>84</v>
      </c>
      <c r="Z46" s="241"/>
      <c r="AA46" s="241"/>
      <c r="AB46" s="4"/>
      <c r="AC46" s="4"/>
      <c r="AD46" s="4"/>
      <c r="AE46" s="4"/>
      <c r="AF46" s="4"/>
    </row>
    <row r="47" spans="1:32" ht="15.75" thickBot="1" x14ac:dyDescent="0.3">
      <c r="A47" s="4"/>
      <c r="B47" s="389"/>
      <c r="C47" s="390"/>
      <c r="D47" s="728">
        <v>0</v>
      </c>
      <c r="E47" s="738">
        <v>0</v>
      </c>
      <c r="F47" s="731"/>
      <c r="G47" s="731"/>
      <c r="H47" s="731"/>
      <c r="I47" s="731"/>
      <c r="J47" s="731"/>
      <c r="K47" s="732"/>
      <c r="L47" s="728">
        <v>0</v>
      </c>
      <c r="M47" s="738">
        <v>0</v>
      </c>
      <c r="N47" s="739"/>
      <c r="O47" s="739"/>
      <c r="P47" s="241"/>
      <c r="Q47" s="241"/>
      <c r="R47" s="728">
        <v>0</v>
      </c>
      <c r="S47" s="738">
        <v>0</v>
      </c>
      <c r="T47" s="241"/>
      <c r="U47" s="241"/>
      <c r="V47" s="241"/>
      <c r="W47" s="241"/>
      <c r="X47" s="728">
        <v>0</v>
      </c>
      <c r="Y47" s="738">
        <v>0</v>
      </c>
      <c r="Z47" s="241"/>
      <c r="AA47" s="241"/>
      <c r="AB47" s="4"/>
      <c r="AC47" s="4"/>
      <c r="AD47" s="4"/>
      <c r="AE47" s="4"/>
      <c r="AF47" s="4"/>
    </row>
    <row r="48" spans="1:32" x14ac:dyDescent="0.25">
      <c r="A48" s="4"/>
      <c r="B48" s="389"/>
      <c r="C48" s="375"/>
      <c r="D48" s="731"/>
      <c r="E48" s="731"/>
      <c r="F48" s="731"/>
      <c r="G48" s="731"/>
      <c r="H48" s="731"/>
      <c r="I48" s="731"/>
      <c r="J48" s="731"/>
      <c r="K48" s="732"/>
      <c r="L48" s="731"/>
      <c r="M48" s="731"/>
      <c r="N48" s="731"/>
      <c r="O48" s="731"/>
      <c r="P48" s="731"/>
      <c r="Q48" s="732"/>
      <c r="R48" s="732"/>
      <c r="S48" s="732"/>
      <c r="T48" s="732"/>
      <c r="U48" s="732"/>
      <c r="V48" s="732"/>
      <c r="W48" s="732"/>
      <c r="X48" s="241"/>
      <c r="Y48" s="241"/>
      <c r="Z48" s="241"/>
      <c r="AA48" s="241"/>
      <c r="AB48" s="4"/>
      <c r="AC48" s="4"/>
      <c r="AD48" s="4"/>
      <c r="AE48" s="4"/>
      <c r="AF48" s="4"/>
    </row>
    <row r="49" spans="1:32" x14ac:dyDescent="0.25">
      <c r="A49" s="4"/>
      <c r="B49" s="389"/>
      <c r="C49" s="393" t="s">
        <v>81</v>
      </c>
      <c r="D49" s="740" t="s">
        <v>72</v>
      </c>
      <c r="E49" s="740" t="s">
        <v>73</v>
      </c>
      <c r="F49" s="740" t="s">
        <v>91</v>
      </c>
      <c r="G49" s="740" t="s">
        <v>93</v>
      </c>
      <c r="H49" s="731"/>
      <c r="I49" s="731"/>
      <c r="J49" s="731"/>
      <c r="K49" s="241"/>
      <c r="L49" s="740" t="s">
        <v>72</v>
      </c>
      <c r="M49" s="740" t="s">
        <v>73</v>
      </c>
      <c r="N49" s="740" t="s">
        <v>91</v>
      </c>
      <c r="O49" s="740" t="s">
        <v>94</v>
      </c>
      <c r="P49" s="241"/>
      <c r="Q49" s="241"/>
      <c r="R49" s="740" t="s">
        <v>72</v>
      </c>
      <c r="S49" s="740" t="s">
        <v>73</v>
      </c>
      <c r="T49" s="740" t="s">
        <v>91</v>
      </c>
      <c r="U49" s="740" t="s">
        <v>219</v>
      </c>
      <c r="V49" s="241"/>
      <c r="W49" s="241"/>
      <c r="X49" s="740" t="s">
        <v>95</v>
      </c>
      <c r="Y49" s="740" t="s">
        <v>73</v>
      </c>
      <c r="Z49" s="740" t="s">
        <v>91</v>
      </c>
      <c r="AA49" s="740" t="s">
        <v>94</v>
      </c>
      <c r="AB49" s="4"/>
      <c r="AC49" s="4"/>
      <c r="AD49" s="4"/>
      <c r="AE49" s="4"/>
      <c r="AF49" s="4"/>
    </row>
    <row r="50" spans="1:32" x14ac:dyDescent="0.25">
      <c r="A50" s="4"/>
      <c r="B50" s="389"/>
      <c r="C50" s="395" t="s">
        <v>117</v>
      </c>
      <c r="D50" s="741">
        <f>SUM(D51:D54)</f>
        <v>3129.2999999999997</v>
      </c>
      <c r="E50" s="741">
        <f t="shared" ref="E50:F50" si="25">SUM(E51:E54)</f>
        <v>1731.3000000000002</v>
      </c>
      <c r="F50" s="741">
        <f t="shared" si="25"/>
        <v>2626.4</v>
      </c>
      <c r="G50" s="742">
        <f>D50+E50-F50</f>
        <v>2234.2000000000003</v>
      </c>
      <c r="H50" s="731"/>
      <c r="I50" s="731"/>
      <c r="J50" s="731"/>
      <c r="K50" s="241"/>
      <c r="L50" s="741">
        <f>SUM(L51:L54)</f>
        <v>2234.1999999999998</v>
      </c>
      <c r="M50" s="741">
        <f t="shared" ref="M50:O50" si="26">SUM(M51:M54)</f>
        <v>1798.7</v>
      </c>
      <c r="N50" s="741">
        <f t="shared" si="26"/>
        <v>1247.0999999999999</v>
      </c>
      <c r="O50" s="741">
        <f t="shared" si="26"/>
        <v>2785.7999999999997</v>
      </c>
      <c r="P50" s="241"/>
      <c r="Q50" s="241"/>
      <c r="R50" s="741">
        <f>SUM(R51:R54)</f>
        <v>2234.1999999999998</v>
      </c>
      <c r="S50" s="741">
        <f t="shared" ref="S50:T50" si="27">SUM(S51:S54)</f>
        <v>675.40000000000009</v>
      </c>
      <c r="T50" s="741">
        <f t="shared" si="27"/>
        <v>1061.9000000000001</v>
      </c>
      <c r="U50" s="742">
        <f>R50+S50-T50</f>
        <v>1847.6999999999998</v>
      </c>
      <c r="V50" s="241"/>
      <c r="W50" s="241"/>
      <c r="X50" s="741">
        <f>SUM(X51:X54)</f>
        <v>2785.7999999999997</v>
      </c>
      <c r="Y50" s="741">
        <f t="shared" ref="Y50:Z50" si="28">SUM(Y51:Y54)</f>
        <v>1362</v>
      </c>
      <c r="Z50" s="741">
        <f t="shared" si="28"/>
        <v>1594.9</v>
      </c>
      <c r="AA50" s="742">
        <f>X50+Y50-Z50</f>
        <v>2552.8999999999992</v>
      </c>
      <c r="AB50" s="4"/>
      <c r="AC50" s="4"/>
      <c r="AD50" s="4"/>
      <c r="AE50" s="4"/>
      <c r="AF50" s="4"/>
    </row>
    <row r="51" spans="1:32" x14ac:dyDescent="0.25">
      <c r="A51" s="4"/>
      <c r="B51" s="389"/>
      <c r="C51" s="395" t="s">
        <v>70</v>
      </c>
      <c r="D51" s="741">
        <v>1505.1</v>
      </c>
      <c r="E51" s="741">
        <f>146+29.5</f>
        <v>175.5</v>
      </c>
      <c r="F51" s="741">
        <f>272.8+332.2</f>
        <v>605</v>
      </c>
      <c r="G51" s="742">
        <f t="shared" ref="G51:G54" si="29">D51+E51-F51</f>
        <v>1075.5999999999999</v>
      </c>
      <c r="H51" s="731"/>
      <c r="I51" s="731"/>
      <c r="J51" s="731"/>
      <c r="K51" s="241"/>
      <c r="L51" s="741">
        <f>G51</f>
        <v>1075.5999999999999</v>
      </c>
      <c r="M51" s="741">
        <v>170</v>
      </c>
      <c r="N51" s="741">
        <v>100</v>
      </c>
      <c r="O51" s="742">
        <f t="shared" ref="O51:O54" si="30">L51+M51-N51</f>
        <v>1145.5999999999999</v>
      </c>
      <c r="P51" s="241"/>
      <c r="Q51" s="241"/>
      <c r="R51" s="741">
        <f>G51</f>
        <v>1075.5999999999999</v>
      </c>
      <c r="S51" s="741">
        <v>142.19999999999999</v>
      </c>
      <c r="T51" s="741">
        <v>336.6</v>
      </c>
      <c r="U51" s="742">
        <f>R51+S51-T51</f>
        <v>881.19999999999993</v>
      </c>
      <c r="V51" s="241"/>
      <c r="W51" s="241"/>
      <c r="X51" s="741">
        <f>O51</f>
        <v>1145.5999999999999</v>
      </c>
      <c r="Y51" s="741">
        <f>50</f>
        <v>50</v>
      </c>
      <c r="Z51" s="741">
        <v>600</v>
      </c>
      <c r="AA51" s="742">
        <f>X51+Y51-Z51</f>
        <v>595.59999999999991</v>
      </c>
      <c r="AB51" s="4"/>
      <c r="AC51" s="4"/>
      <c r="AD51" s="4"/>
      <c r="AE51" s="4"/>
      <c r="AF51" s="4"/>
    </row>
    <row r="52" spans="1:32" x14ac:dyDescent="0.25">
      <c r="A52" s="4"/>
      <c r="B52" s="389"/>
      <c r="C52" s="395" t="s">
        <v>71</v>
      </c>
      <c r="D52" s="741">
        <v>651.79999999999995</v>
      </c>
      <c r="E52" s="741">
        <v>927.9</v>
      </c>
      <c r="F52" s="741">
        <v>1285.7</v>
      </c>
      <c r="G52" s="742">
        <f t="shared" si="29"/>
        <v>293.99999999999977</v>
      </c>
      <c r="H52" s="731"/>
      <c r="I52" s="731"/>
      <c r="J52" s="731"/>
      <c r="K52" s="241"/>
      <c r="L52" s="741">
        <f t="shared" ref="L52:L54" si="31">G52</f>
        <v>293.99999999999977</v>
      </c>
      <c r="M52" s="741">
        <v>980</v>
      </c>
      <c r="N52" s="741">
        <v>642.1</v>
      </c>
      <c r="O52" s="742">
        <f t="shared" si="30"/>
        <v>631.89999999999975</v>
      </c>
      <c r="P52" s="241"/>
      <c r="Q52" s="241"/>
      <c r="R52" s="741">
        <f t="shared" ref="R52:R54" si="32">G52</f>
        <v>293.99999999999977</v>
      </c>
      <c r="S52" s="741">
        <v>252.9</v>
      </c>
      <c r="T52" s="741">
        <v>277.60000000000002</v>
      </c>
      <c r="U52" s="742">
        <f t="shared" ref="U52:U54" si="33">R52+S52-T52</f>
        <v>269.29999999999973</v>
      </c>
      <c r="V52" s="241"/>
      <c r="W52" s="241"/>
      <c r="X52" s="741">
        <f t="shared" ref="X52:X54" si="34">O52</f>
        <v>631.89999999999975</v>
      </c>
      <c r="Y52" s="743">
        <f>950-2.2</f>
        <v>947.8</v>
      </c>
      <c r="Z52" s="743">
        <v>639.9</v>
      </c>
      <c r="AA52" s="742">
        <f>X52+Y52-Z52</f>
        <v>939.79999999999984</v>
      </c>
      <c r="AB52" s="4"/>
      <c r="AC52" s="4"/>
      <c r="AD52" s="4"/>
      <c r="AE52" s="4"/>
      <c r="AF52" s="4"/>
    </row>
    <row r="53" spans="1:32" x14ac:dyDescent="0.25">
      <c r="A53" s="4"/>
      <c r="B53" s="389"/>
      <c r="C53" s="395" t="s">
        <v>88</v>
      </c>
      <c r="D53" s="741">
        <v>172.4</v>
      </c>
      <c r="E53" s="741">
        <v>5</v>
      </c>
      <c r="F53" s="741">
        <v>3.5</v>
      </c>
      <c r="G53" s="742">
        <f t="shared" si="29"/>
        <v>173.9</v>
      </c>
      <c r="H53" s="731"/>
      <c r="I53" s="731"/>
      <c r="J53" s="731"/>
      <c r="K53" s="241"/>
      <c r="L53" s="741">
        <f t="shared" si="31"/>
        <v>173.9</v>
      </c>
      <c r="M53" s="741">
        <v>7</v>
      </c>
      <c r="N53" s="741">
        <v>5</v>
      </c>
      <c r="O53" s="742">
        <f t="shared" si="30"/>
        <v>175.9</v>
      </c>
      <c r="P53" s="241"/>
      <c r="Q53" s="241"/>
      <c r="R53" s="741">
        <f t="shared" si="32"/>
        <v>173.9</v>
      </c>
      <c r="S53" s="741">
        <v>3.8</v>
      </c>
      <c r="T53" s="741">
        <v>0</v>
      </c>
      <c r="U53" s="742">
        <f t="shared" si="33"/>
        <v>177.70000000000002</v>
      </c>
      <c r="V53" s="241"/>
      <c r="W53" s="241"/>
      <c r="X53" s="741">
        <f t="shared" si="34"/>
        <v>175.9</v>
      </c>
      <c r="Y53" s="741">
        <v>5</v>
      </c>
      <c r="Z53" s="741">
        <v>5</v>
      </c>
      <c r="AA53" s="742">
        <f t="shared" ref="AA53:AA54" si="35">X53+Y53-Z53</f>
        <v>175.9</v>
      </c>
      <c r="AB53" s="4"/>
      <c r="AC53" s="4"/>
      <c r="AD53" s="4"/>
      <c r="AE53" s="4"/>
      <c r="AF53" s="4"/>
    </row>
    <row r="54" spans="1:32" x14ac:dyDescent="0.25">
      <c r="A54" s="4"/>
      <c r="B54" s="389"/>
      <c r="C54" s="398" t="s">
        <v>89</v>
      </c>
      <c r="D54" s="741">
        <v>800</v>
      </c>
      <c r="E54" s="741">
        <v>622.9</v>
      </c>
      <c r="F54" s="741">
        <v>732.2</v>
      </c>
      <c r="G54" s="742">
        <f t="shared" si="29"/>
        <v>690.7</v>
      </c>
      <c r="H54" s="731"/>
      <c r="I54" s="731"/>
      <c r="J54" s="731"/>
      <c r="K54" s="241"/>
      <c r="L54" s="741">
        <f t="shared" si="31"/>
        <v>690.7</v>
      </c>
      <c r="M54" s="741">
        <v>641.70000000000005</v>
      </c>
      <c r="N54" s="741">
        <v>500</v>
      </c>
      <c r="O54" s="742">
        <f t="shared" si="30"/>
        <v>832.40000000000009</v>
      </c>
      <c r="P54" s="241"/>
      <c r="Q54" s="241"/>
      <c r="R54" s="741">
        <f t="shared" si="32"/>
        <v>690.7</v>
      </c>
      <c r="S54" s="741">
        <v>276.5</v>
      </c>
      <c r="T54" s="741">
        <v>447.7</v>
      </c>
      <c r="U54" s="742">
        <f t="shared" si="33"/>
        <v>519.5</v>
      </c>
      <c r="V54" s="241"/>
      <c r="W54" s="241"/>
      <c r="X54" s="741">
        <f t="shared" si="34"/>
        <v>832.40000000000009</v>
      </c>
      <c r="Y54" s="741">
        <f>320+39.2</f>
        <v>359.2</v>
      </c>
      <c r="Z54" s="741">
        <f>350</f>
        <v>350</v>
      </c>
      <c r="AA54" s="742">
        <f t="shared" si="35"/>
        <v>841.60000000000014</v>
      </c>
      <c r="AB54" s="4"/>
      <c r="AC54" s="4"/>
      <c r="AD54" s="4"/>
      <c r="AE54" s="4"/>
      <c r="AF54" s="4"/>
    </row>
    <row r="55" spans="1:32" ht="10.5" customHeight="1" x14ac:dyDescent="0.25">
      <c r="A55" s="4"/>
      <c r="B55" s="389"/>
      <c r="C55" s="375"/>
      <c r="D55" s="731"/>
      <c r="E55" s="731"/>
      <c r="F55" s="731"/>
      <c r="G55" s="731"/>
      <c r="H55" s="731"/>
      <c r="I55" s="731"/>
      <c r="J55" s="73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4"/>
      <c r="AC55" s="4"/>
      <c r="AD55" s="4"/>
      <c r="AE55" s="4"/>
      <c r="AF55" s="4"/>
    </row>
    <row r="56" spans="1:32" x14ac:dyDescent="0.25">
      <c r="A56" s="4"/>
      <c r="B56" s="389"/>
      <c r="C56" s="393" t="s">
        <v>74</v>
      </c>
      <c r="D56" s="740" t="s">
        <v>75</v>
      </c>
      <c r="E56" s="740" t="s">
        <v>96</v>
      </c>
      <c r="F56" s="731"/>
      <c r="G56" s="731"/>
      <c r="H56" s="731"/>
      <c r="I56" s="731"/>
      <c r="J56" s="731"/>
      <c r="K56" s="732"/>
      <c r="L56" s="740" t="s">
        <v>97</v>
      </c>
      <c r="M56" s="731"/>
      <c r="N56" s="731"/>
      <c r="O56" s="731"/>
      <c r="P56" s="731"/>
      <c r="Q56" s="732"/>
      <c r="R56" s="740" t="s">
        <v>98</v>
      </c>
      <c r="S56" s="732"/>
      <c r="T56" s="732"/>
      <c r="U56" s="732"/>
      <c r="V56" s="732"/>
      <c r="W56" s="732"/>
      <c r="X56" s="740" t="s">
        <v>97</v>
      </c>
      <c r="Y56" s="241"/>
      <c r="Z56" s="241"/>
      <c r="AA56" s="241"/>
      <c r="AB56" s="4"/>
      <c r="AC56" s="4"/>
      <c r="AD56" s="4"/>
      <c r="AE56" s="4"/>
      <c r="AF56" s="4"/>
    </row>
    <row r="57" spans="1:32" x14ac:dyDescent="0.25">
      <c r="A57" s="4"/>
      <c r="B57" s="389"/>
      <c r="C57" s="395"/>
      <c r="D57" s="744">
        <v>64.099999999999994</v>
      </c>
      <c r="E57" s="744">
        <v>66.900000000000006</v>
      </c>
      <c r="F57" s="731"/>
      <c r="G57" s="731"/>
      <c r="H57" s="731"/>
      <c r="I57" s="731"/>
      <c r="J57" s="731"/>
      <c r="K57" s="732"/>
      <c r="L57" s="744">
        <v>70.3</v>
      </c>
      <c r="M57" s="731"/>
      <c r="N57" s="731"/>
      <c r="O57" s="731"/>
      <c r="P57" s="731"/>
      <c r="Q57" s="732"/>
      <c r="R57" s="744">
        <v>68.7</v>
      </c>
      <c r="S57" s="732"/>
      <c r="T57" s="732"/>
      <c r="U57" s="732"/>
      <c r="V57" s="732"/>
      <c r="W57" s="732"/>
      <c r="X57" s="744">
        <v>68.900000000000006</v>
      </c>
      <c r="Y57" s="241"/>
      <c r="Z57" s="241"/>
      <c r="AA57" s="241"/>
      <c r="AB57" s="4"/>
      <c r="AC57" s="4"/>
      <c r="AD57" s="4"/>
      <c r="AE57" s="4"/>
      <c r="AF57" s="4"/>
    </row>
    <row r="58" spans="1:32" x14ac:dyDescent="0.25">
      <c r="A58" s="4"/>
      <c r="B58" s="389"/>
      <c r="C58" s="375"/>
      <c r="D58" s="377"/>
      <c r="E58" s="377"/>
      <c r="F58" s="377"/>
      <c r="G58" s="377"/>
      <c r="H58" s="377"/>
      <c r="I58" s="377"/>
      <c r="J58" s="377"/>
      <c r="K58" s="381"/>
      <c r="L58" s="377"/>
      <c r="M58" s="377"/>
      <c r="N58" s="377"/>
      <c r="O58" s="377"/>
      <c r="P58" s="377"/>
      <c r="Q58" s="381"/>
      <c r="R58" s="381"/>
      <c r="S58" s="381"/>
      <c r="T58" s="381"/>
      <c r="U58" s="381"/>
      <c r="V58" s="381"/>
      <c r="W58" s="381"/>
      <c r="X58" s="4"/>
      <c r="Y58" s="4"/>
      <c r="Z58" s="4"/>
      <c r="AA58" s="4"/>
      <c r="AB58" s="4"/>
      <c r="AC58" s="4"/>
      <c r="AD58" s="4"/>
      <c r="AE58" s="4"/>
      <c r="AF58" s="4"/>
    </row>
    <row r="59" spans="1:32" x14ac:dyDescent="0.25">
      <c r="A59" s="4"/>
      <c r="B59" s="745" t="s">
        <v>92</v>
      </c>
      <c r="C59" s="746"/>
      <c r="D59" s="747"/>
      <c r="E59" s="747"/>
      <c r="F59" s="747"/>
      <c r="G59" s="747"/>
      <c r="H59" s="747"/>
      <c r="I59" s="747"/>
      <c r="J59" s="747"/>
      <c r="K59" s="747"/>
      <c r="L59" s="747"/>
      <c r="M59" s="747"/>
      <c r="N59" s="747"/>
      <c r="O59" s="747"/>
      <c r="P59" s="747"/>
      <c r="Q59" s="747"/>
      <c r="R59" s="747"/>
      <c r="S59" s="747"/>
      <c r="T59" s="747"/>
      <c r="U59" s="747"/>
      <c r="V59" s="747"/>
      <c r="W59" s="747"/>
      <c r="X59" s="403"/>
      <c r="Y59" s="403"/>
      <c r="Z59" s="403"/>
      <c r="AA59" s="403"/>
      <c r="AB59" s="403"/>
      <c r="AC59" s="403"/>
      <c r="AD59" s="404"/>
      <c r="AE59" s="4"/>
      <c r="AF59" s="4"/>
    </row>
    <row r="60" spans="1:32" x14ac:dyDescent="0.25">
      <c r="A60" s="4"/>
      <c r="B60" s="748" t="s">
        <v>220</v>
      </c>
      <c r="C60" s="749"/>
      <c r="D60" s="749"/>
      <c r="E60" s="749"/>
      <c r="F60" s="749"/>
      <c r="G60" s="749"/>
      <c r="H60" s="749"/>
      <c r="I60" s="749"/>
      <c r="J60" s="749"/>
      <c r="K60" s="749"/>
      <c r="L60" s="749"/>
      <c r="M60" s="749"/>
      <c r="N60" s="749"/>
      <c r="O60" s="749"/>
      <c r="P60" s="749"/>
      <c r="Q60" s="749"/>
      <c r="R60" s="749"/>
      <c r="S60" s="749"/>
      <c r="T60" s="749"/>
      <c r="U60" s="749"/>
      <c r="V60" s="749"/>
      <c r="W60" s="749"/>
      <c r="AD60" s="407"/>
      <c r="AE60" s="4"/>
      <c r="AF60" s="4"/>
    </row>
    <row r="61" spans="1:32" x14ac:dyDescent="0.25">
      <c r="A61" s="4"/>
      <c r="B61" s="750" t="s">
        <v>221</v>
      </c>
      <c r="C61" s="751"/>
      <c r="D61" s="751"/>
      <c r="E61" s="751"/>
      <c r="F61" s="751"/>
      <c r="G61" s="751"/>
      <c r="H61" s="751"/>
      <c r="I61" s="751"/>
      <c r="J61" s="751"/>
      <c r="K61" s="751"/>
      <c r="L61" s="751"/>
      <c r="M61" s="751"/>
      <c r="N61" s="751"/>
      <c r="O61" s="751"/>
      <c r="P61" s="751"/>
      <c r="Q61" s="751"/>
      <c r="R61" s="751"/>
      <c r="S61" s="751"/>
      <c r="T61" s="751"/>
      <c r="U61" s="751"/>
      <c r="V61" s="751"/>
      <c r="W61" s="751"/>
      <c r="AD61" s="407"/>
      <c r="AE61" s="4"/>
      <c r="AF61" s="4"/>
    </row>
    <row r="62" spans="1:32" x14ac:dyDescent="0.25">
      <c r="A62" s="4"/>
      <c r="B62" s="752"/>
      <c r="C62" s="753"/>
      <c r="D62" s="753"/>
      <c r="E62" s="753"/>
      <c r="F62" s="753"/>
      <c r="G62" s="753"/>
      <c r="H62" s="753"/>
      <c r="I62" s="753"/>
      <c r="J62" s="753"/>
      <c r="K62" s="753"/>
      <c r="L62" s="753"/>
      <c r="M62" s="753"/>
      <c r="N62" s="753"/>
      <c r="O62" s="753"/>
      <c r="P62" s="753"/>
      <c r="Q62" s="753"/>
      <c r="R62" s="753"/>
      <c r="S62" s="753"/>
      <c r="T62" s="753"/>
      <c r="U62" s="753"/>
      <c r="V62" s="753"/>
      <c r="W62" s="753"/>
      <c r="AD62" s="407"/>
      <c r="AE62" s="4"/>
      <c r="AF62" s="4"/>
    </row>
    <row r="63" spans="1:32" x14ac:dyDescent="0.25">
      <c r="A63" s="4"/>
      <c r="B63" s="752" t="s">
        <v>222</v>
      </c>
      <c r="C63" s="753"/>
      <c r="D63" s="753"/>
      <c r="E63" s="753"/>
      <c r="F63" s="753"/>
      <c r="G63" s="753"/>
      <c r="H63" s="753"/>
      <c r="I63" s="753"/>
      <c r="J63" s="753"/>
      <c r="K63" s="753"/>
      <c r="L63" s="753"/>
      <c r="M63" s="753"/>
      <c r="N63" s="753"/>
      <c r="O63" s="753"/>
      <c r="P63" s="753"/>
      <c r="Q63" s="753"/>
      <c r="R63" s="753"/>
      <c r="S63" s="753"/>
      <c r="T63" s="753"/>
      <c r="U63" s="753"/>
      <c r="V63" s="753"/>
      <c r="W63" s="753"/>
      <c r="AD63" s="407"/>
      <c r="AE63" s="4"/>
      <c r="AF63" s="4"/>
    </row>
    <row r="64" spans="1:32" x14ac:dyDescent="0.25">
      <c r="A64" s="4"/>
      <c r="B64" s="754" t="s">
        <v>223</v>
      </c>
      <c r="C64" s="755"/>
      <c r="D64" s="755"/>
      <c r="E64" s="755"/>
      <c r="F64" s="755"/>
      <c r="G64" s="755"/>
      <c r="H64" s="755"/>
      <c r="I64" s="755"/>
      <c r="J64" s="755"/>
      <c r="K64" s="755"/>
      <c r="L64" s="755"/>
      <c r="M64" s="755"/>
      <c r="N64" s="755"/>
      <c r="O64" s="755"/>
      <c r="P64" s="755"/>
      <c r="Q64" s="755"/>
      <c r="R64" s="755"/>
      <c r="S64" s="755"/>
      <c r="T64" s="755"/>
      <c r="U64" s="755"/>
      <c r="V64" s="755"/>
      <c r="W64" s="755"/>
      <c r="AD64" s="407"/>
      <c r="AE64" s="4"/>
      <c r="AF64" s="4"/>
    </row>
    <row r="65" spans="1:32" x14ac:dyDescent="0.25">
      <c r="A65" s="4"/>
      <c r="B65" s="756"/>
      <c r="C65" s="755"/>
      <c r="D65" s="755"/>
      <c r="E65" s="755"/>
      <c r="F65" s="755"/>
      <c r="G65" s="755"/>
      <c r="H65" s="755"/>
      <c r="I65" s="755"/>
      <c r="J65" s="755"/>
      <c r="K65" s="755"/>
      <c r="L65" s="755"/>
      <c r="M65" s="755"/>
      <c r="N65" s="755"/>
      <c r="O65" s="755"/>
      <c r="P65" s="755"/>
      <c r="Q65" s="755"/>
      <c r="R65" s="755"/>
      <c r="S65" s="755"/>
      <c r="T65" s="755"/>
      <c r="U65" s="755"/>
      <c r="V65" s="755"/>
      <c r="W65" s="755"/>
      <c r="AD65" s="407"/>
      <c r="AE65" s="4"/>
      <c r="AF65" s="4"/>
    </row>
    <row r="66" spans="1:32" x14ac:dyDescent="0.25">
      <c r="A66" s="4"/>
      <c r="B66" s="754"/>
      <c r="C66" s="755"/>
      <c r="D66" s="755"/>
      <c r="E66" s="755"/>
      <c r="F66" s="755"/>
      <c r="G66" s="755"/>
      <c r="H66" s="755"/>
      <c r="I66" s="755"/>
      <c r="J66" s="755"/>
      <c r="K66" s="755"/>
      <c r="L66" s="755"/>
      <c r="M66" s="755"/>
      <c r="N66" s="755"/>
      <c r="O66" s="755"/>
      <c r="P66" s="755"/>
      <c r="Q66" s="755"/>
      <c r="R66" s="755"/>
      <c r="S66" s="755"/>
      <c r="T66" s="755"/>
      <c r="U66" s="755"/>
      <c r="V66" s="755"/>
      <c r="W66" s="755"/>
      <c r="AD66" s="407"/>
      <c r="AE66" s="4"/>
      <c r="AF66" s="4"/>
    </row>
    <row r="67" spans="1:32" x14ac:dyDescent="0.25">
      <c r="A67" s="4"/>
      <c r="B67" s="756"/>
      <c r="C67" s="755"/>
      <c r="D67" s="755"/>
      <c r="E67" s="755"/>
      <c r="F67" s="755"/>
      <c r="G67" s="755"/>
      <c r="H67" s="755"/>
      <c r="I67" s="755"/>
      <c r="J67" s="755"/>
      <c r="K67" s="755"/>
      <c r="L67" s="755"/>
      <c r="M67" s="755"/>
      <c r="N67" s="755"/>
      <c r="O67" s="755"/>
      <c r="P67" s="755"/>
      <c r="Q67" s="755"/>
      <c r="R67" s="755"/>
      <c r="S67" s="755"/>
      <c r="T67" s="755"/>
      <c r="U67" s="755"/>
      <c r="V67" s="755"/>
      <c r="W67" s="755"/>
      <c r="AD67" s="407"/>
      <c r="AE67" s="4"/>
      <c r="AF67" s="4"/>
    </row>
    <row r="68" spans="1:32" x14ac:dyDescent="0.25">
      <c r="A68" s="4"/>
      <c r="B68" s="754" t="s">
        <v>224</v>
      </c>
      <c r="C68" s="757"/>
      <c r="D68" s="755"/>
      <c r="E68" s="755"/>
      <c r="F68" s="755"/>
      <c r="G68" s="755"/>
      <c r="H68" s="755"/>
      <c r="I68" s="755"/>
      <c r="J68" s="755"/>
      <c r="K68" s="755"/>
      <c r="L68" s="755"/>
      <c r="M68" s="755"/>
      <c r="N68" s="755"/>
      <c r="O68" s="755"/>
      <c r="P68" s="755"/>
      <c r="Q68" s="755"/>
      <c r="R68" s="755"/>
      <c r="S68" s="755"/>
      <c r="T68" s="755"/>
      <c r="U68" s="755"/>
      <c r="V68" s="755"/>
      <c r="W68" s="755"/>
      <c r="AD68" s="407"/>
      <c r="AE68" s="4"/>
      <c r="AF68" s="4"/>
    </row>
    <row r="69" spans="1:32" x14ac:dyDescent="0.25">
      <c r="A69" s="4"/>
      <c r="B69" s="754"/>
      <c r="C69" s="757"/>
      <c r="D69" s="755"/>
      <c r="E69" s="755"/>
      <c r="F69" s="755"/>
      <c r="G69" s="755"/>
      <c r="H69" s="755"/>
      <c r="I69" s="755"/>
      <c r="J69" s="755"/>
      <c r="K69" s="755"/>
      <c r="L69" s="755"/>
      <c r="M69" s="755"/>
      <c r="N69" s="755"/>
      <c r="O69" s="755"/>
      <c r="P69" s="755"/>
      <c r="Q69" s="755"/>
      <c r="R69" s="755"/>
      <c r="S69" s="755"/>
      <c r="T69" s="755"/>
      <c r="U69" s="755"/>
      <c r="V69" s="755"/>
      <c r="W69" s="755"/>
      <c r="AD69" s="407"/>
      <c r="AE69" s="4"/>
      <c r="AF69" s="4"/>
    </row>
    <row r="70" spans="1:32" x14ac:dyDescent="0.25">
      <c r="A70" s="4"/>
      <c r="B70" s="754" t="s">
        <v>225</v>
      </c>
      <c r="C70" s="757"/>
      <c r="D70" s="755"/>
      <c r="E70" s="755"/>
      <c r="F70" s="755"/>
      <c r="G70" s="755"/>
      <c r="H70" s="755"/>
      <c r="I70" s="755"/>
      <c r="J70" s="755"/>
      <c r="K70" s="755"/>
      <c r="L70" s="755"/>
      <c r="M70" s="755"/>
      <c r="N70" s="755"/>
      <c r="O70" s="755"/>
      <c r="P70" s="755"/>
      <c r="Q70" s="755"/>
      <c r="R70" s="755"/>
      <c r="S70" s="755"/>
      <c r="T70" s="755"/>
      <c r="U70" s="755"/>
      <c r="V70" s="755"/>
      <c r="W70" s="755"/>
      <c r="AD70" s="407"/>
      <c r="AE70" s="4"/>
      <c r="AF70" s="4"/>
    </row>
    <row r="71" spans="1:32" x14ac:dyDescent="0.25">
      <c r="A71" s="4"/>
      <c r="B71" s="754"/>
      <c r="C71" s="757"/>
      <c r="D71" s="755"/>
      <c r="E71" s="755"/>
      <c r="F71" s="755"/>
      <c r="G71" s="755"/>
      <c r="H71" s="755"/>
      <c r="I71" s="755"/>
      <c r="J71" s="755"/>
      <c r="K71" s="755"/>
      <c r="L71" s="755"/>
      <c r="M71" s="755"/>
      <c r="N71" s="755"/>
      <c r="O71" s="755"/>
      <c r="P71" s="755"/>
      <c r="Q71" s="755"/>
      <c r="R71" s="755"/>
      <c r="S71" s="755"/>
      <c r="T71" s="755"/>
      <c r="U71" s="755"/>
      <c r="V71" s="755"/>
      <c r="W71" s="755"/>
      <c r="AD71" s="407"/>
      <c r="AE71" s="4"/>
      <c r="AF71" s="4"/>
    </row>
    <row r="72" spans="1:32" x14ac:dyDescent="0.25">
      <c r="A72" s="4"/>
      <c r="B72" s="756"/>
      <c r="C72" s="755"/>
      <c r="D72" s="755"/>
      <c r="E72" s="755"/>
      <c r="F72" s="755"/>
      <c r="G72" s="755"/>
      <c r="H72" s="755"/>
      <c r="I72" s="755"/>
      <c r="J72" s="755"/>
      <c r="K72" s="755"/>
      <c r="L72" s="755"/>
      <c r="M72" s="755"/>
      <c r="N72" s="755"/>
      <c r="O72" s="755"/>
      <c r="P72" s="755"/>
      <c r="Q72" s="755"/>
      <c r="R72" s="755"/>
      <c r="S72" s="755"/>
      <c r="T72" s="755"/>
      <c r="U72" s="755"/>
      <c r="V72" s="755"/>
      <c r="W72" s="755"/>
      <c r="AD72" s="407"/>
      <c r="AE72" s="4"/>
      <c r="AF72" s="4"/>
    </row>
    <row r="73" spans="1:32" x14ac:dyDescent="0.25">
      <c r="A73" s="4"/>
      <c r="B73" s="754" t="s">
        <v>226</v>
      </c>
      <c r="C73" s="757"/>
      <c r="D73" s="757"/>
      <c r="E73" s="757"/>
      <c r="F73" s="757"/>
      <c r="G73" s="757"/>
      <c r="H73" s="755"/>
      <c r="I73" s="755"/>
      <c r="J73" s="755"/>
      <c r="K73" s="755"/>
      <c r="L73" s="755"/>
      <c r="M73" s="755"/>
      <c r="N73" s="755"/>
      <c r="O73" s="755"/>
      <c r="P73" s="755"/>
      <c r="Q73" s="755"/>
      <c r="R73" s="755"/>
      <c r="S73" s="755"/>
      <c r="T73" s="755"/>
      <c r="U73" s="755"/>
      <c r="V73" s="755"/>
      <c r="W73" s="755"/>
      <c r="AD73" s="407"/>
      <c r="AE73" s="4"/>
      <c r="AF73" s="4"/>
    </row>
    <row r="74" spans="1:32" x14ac:dyDescent="0.25">
      <c r="A74" s="4"/>
      <c r="B74" s="41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AD74" s="407"/>
      <c r="AE74" s="4"/>
      <c r="AF74" s="4"/>
    </row>
    <row r="75" spans="1:32" x14ac:dyDescent="0.25">
      <c r="A75" s="4"/>
      <c r="B75" s="41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AD75" s="407"/>
      <c r="AE75" s="4"/>
      <c r="AF75" s="4"/>
    </row>
    <row r="76" spans="1:32" x14ac:dyDescent="0.25">
      <c r="A76" s="4"/>
      <c r="B76" s="41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AD76" s="407"/>
      <c r="AE76" s="4"/>
      <c r="AF76" s="4"/>
    </row>
    <row r="77" spans="1:32" x14ac:dyDescent="0.25">
      <c r="A77" s="4"/>
      <c r="B77" s="41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AD77" s="407"/>
      <c r="AE77" s="4"/>
      <c r="AF77" s="4"/>
    </row>
    <row r="78" spans="1:32" x14ac:dyDescent="0.25">
      <c r="A78" s="4"/>
      <c r="B78" s="41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AD78" s="407"/>
      <c r="AE78" s="4"/>
      <c r="AF78" s="4"/>
    </row>
    <row r="79" spans="1:32" x14ac:dyDescent="0.25">
      <c r="A79" s="4"/>
      <c r="B79" s="41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AD79" s="407"/>
      <c r="AE79" s="4"/>
      <c r="AF79" s="4"/>
    </row>
    <row r="80" spans="1:32" x14ac:dyDescent="0.25">
      <c r="A80" s="4"/>
      <c r="B80" s="41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AD80" s="407"/>
      <c r="AE80" s="4"/>
      <c r="AF80" s="4"/>
    </row>
    <row r="81" spans="1:32" x14ac:dyDescent="0.25">
      <c r="A81" s="4"/>
      <c r="B81" s="41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AD81" s="407"/>
      <c r="AE81" s="4"/>
      <c r="AF81" s="4"/>
    </row>
    <row r="82" spans="1:32" x14ac:dyDescent="0.25">
      <c r="A82" s="4"/>
      <c r="B82" s="408"/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09"/>
      <c r="AD82" s="407"/>
      <c r="AE82" s="4"/>
      <c r="AF82" s="4"/>
    </row>
    <row r="83" spans="1:32" x14ac:dyDescent="0.25">
      <c r="A83" s="4"/>
      <c r="B83" s="411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AD83" s="407"/>
      <c r="AE83" s="4"/>
      <c r="AF83" s="4"/>
    </row>
    <row r="84" spans="1:32" x14ac:dyDescent="0.25">
      <c r="A84" s="4"/>
      <c r="B84" s="411"/>
      <c r="C84" s="412"/>
      <c r="D84" s="412"/>
      <c r="E84" s="412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AD84" s="407"/>
      <c r="AE84" s="4"/>
      <c r="AF84" s="4"/>
    </row>
    <row r="85" spans="1:32" x14ac:dyDescent="0.25">
      <c r="A85" s="4"/>
      <c r="B85" s="411"/>
      <c r="C85" s="413"/>
      <c r="D85" s="412"/>
      <c r="E85" s="412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AD85" s="407"/>
      <c r="AE85" s="4"/>
      <c r="AF85" s="4"/>
    </row>
    <row r="86" spans="1:32" x14ac:dyDescent="0.25">
      <c r="A86" s="4"/>
      <c r="B86" s="411"/>
      <c r="C86" s="413"/>
      <c r="D86" s="412"/>
      <c r="E86" s="412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AD86" s="407"/>
      <c r="AE86" s="4"/>
      <c r="AF86" s="4"/>
    </row>
    <row r="87" spans="1:32" x14ac:dyDescent="0.25">
      <c r="A87" s="4"/>
      <c r="B87" s="414"/>
      <c r="C87" s="415"/>
      <c r="D87" s="416"/>
      <c r="E87" s="416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06"/>
      <c r="Y87" s="406"/>
      <c r="Z87" s="406"/>
      <c r="AA87" s="406"/>
      <c r="AB87" s="406"/>
      <c r="AC87" s="406"/>
      <c r="AD87" s="418"/>
      <c r="AE87" s="4"/>
      <c r="AF87" s="4"/>
    </row>
    <row r="88" spans="1:32" x14ac:dyDescent="0.25">
      <c r="A88" s="4"/>
      <c r="B88" s="419"/>
      <c r="C88" s="420"/>
      <c r="D88" s="419"/>
      <c r="E88" s="419"/>
      <c r="F88" s="421"/>
      <c r="G88" s="421"/>
      <c r="H88" s="421"/>
      <c r="I88" s="421"/>
      <c r="J88" s="421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21"/>
      <c r="W88" s="421"/>
      <c r="X88" s="4"/>
      <c r="Y88" s="4"/>
      <c r="Z88" s="4"/>
      <c r="AA88" s="4"/>
      <c r="AB88" s="4"/>
      <c r="AC88" s="4"/>
      <c r="AD88" s="4"/>
      <c r="AE88" s="4"/>
      <c r="AF88" s="4"/>
    </row>
    <row r="89" spans="1:32" x14ac:dyDescent="0.25">
      <c r="A89" s="4"/>
      <c r="B89" s="419"/>
      <c r="C89" s="420"/>
      <c r="D89" s="419"/>
      <c r="E89" s="419"/>
      <c r="F89" s="421"/>
      <c r="G89" s="421"/>
      <c r="H89" s="421"/>
      <c r="I89" s="421"/>
      <c r="J89" s="421"/>
      <c r="K89" s="421"/>
      <c r="L89" s="421"/>
      <c r="M89" s="421"/>
      <c r="N89" s="421"/>
      <c r="O89" s="421"/>
      <c r="P89" s="421"/>
      <c r="Q89" s="421"/>
      <c r="R89" s="421"/>
      <c r="S89" s="421"/>
      <c r="T89" s="421"/>
      <c r="U89" s="421"/>
      <c r="V89" s="421"/>
      <c r="W89" s="421"/>
      <c r="X89" s="4"/>
      <c r="Y89" s="4"/>
      <c r="Z89" s="4"/>
      <c r="AA89" s="4"/>
      <c r="AB89" s="4"/>
      <c r="AC89" s="4"/>
      <c r="AD89" s="4"/>
      <c r="AE89" s="4"/>
      <c r="AF89" s="4"/>
    </row>
    <row r="90" spans="1:32" x14ac:dyDescent="0.25">
      <c r="A90" s="4"/>
      <c r="B90" s="422"/>
      <c r="C90" s="422"/>
      <c r="D90" s="422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22"/>
      <c r="W90" s="422"/>
      <c r="X90" s="4"/>
      <c r="Y90" s="4"/>
      <c r="Z90" s="4"/>
      <c r="AA90" s="4"/>
      <c r="AB90" s="4"/>
      <c r="AC90" s="4"/>
      <c r="AD90" s="4"/>
      <c r="AE90" s="4"/>
      <c r="AF90" s="4"/>
    </row>
    <row r="91" spans="1:32" x14ac:dyDescent="0.25">
      <c r="A91" s="4"/>
      <c r="B91" s="422" t="s">
        <v>80</v>
      </c>
      <c r="C91" s="423">
        <v>45208</v>
      </c>
      <c r="D91" s="422" t="s">
        <v>76</v>
      </c>
      <c r="E91" s="409" t="s">
        <v>227</v>
      </c>
      <c r="F91" s="409"/>
      <c r="G91" s="409"/>
      <c r="H91" s="240"/>
      <c r="I91" s="240"/>
      <c r="J91" s="422"/>
      <c r="K91" s="422" t="s">
        <v>77</v>
      </c>
      <c r="L91" s="424" t="s">
        <v>228</v>
      </c>
      <c r="M91" s="424"/>
      <c r="N91" s="424"/>
      <c r="O91" s="424"/>
      <c r="P91" s="422"/>
      <c r="Q91" s="422"/>
      <c r="R91" s="422"/>
      <c r="S91" s="422"/>
      <c r="T91" s="422"/>
      <c r="U91" s="422"/>
      <c r="V91" s="422"/>
      <c r="W91" s="422"/>
      <c r="X91" s="4"/>
      <c r="Y91" s="4"/>
      <c r="Z91" s="4"/>
      <c r="AA91" s="4"/>
      <c r="AB91" s="4"/>
      <c r="AC91" s="4"/>
      <c r="AD91" s="4"/>
      <c r="AE91" s="4"/>
      <c r="AF91" s="4"/>
    </row>
    <row r="92" spans="1:32" ht="7.5" customHeight="1" x14ac:dyDescent="0.25">
      <c r="A92" s="4"/>
      <c r="B92" s="422"/>
      <c r="C92" s="422"/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2"/>
      <c r="R92" s="422"/>
      <c r="S92" s="422"/>
      <c r="T92" s="422"/>
      <c r="U92" s="422"/>
      <c r="V92" s="422"/>
      <c r="W92" s="422"/>
      <c r="X92" s="4"/>
      <c r="Y92" s="4"/>
      <c r="Z92" s="4"/>
      <c r="AA92" s="4"/>
      <c r="AB92" s="4"/>
      <c r="AC92" s="4"/>
      <c r="AD92" s="4"/>
      <c r="AE92" s="4"/>
      <c r="AF92" s="4"/>
    </row>
    <row r="93" spans="1:32" x14ac:dyDescent="0.25">
      <c r="A93" s="4"/>
      <c r="B93" s="422"/>
      <c r="C93" s="422"/>
      <c r="D93" s="422" t="s">
        <v>79</v>
      </c>
      <c r="E93" s="425"/>
      <c r="F93" s="425"/>
      <c r="G93" s="425"/>
      <c r="H93" s="425"/>
      <c r="I93" s="425"/>
      <c r="J93" s="422"/>
      <c r="K93" s="422" t="s">
        <v>79</v>
      </c>
      <c r="L93" s="426"/>
      <c r="M93" s="426"/>
      <c r="N93" s="426"/>
      <c r="O93" s="426"/>
      <c r="P93" s="422"/>
      <c r="Q93" s="422"/>
      <c r="R93" s="422"/>
      <c r="S93" s="422"/>
      <c r="T93" s="422"/>
      <c r="U93" s="422"/>
      <c r="V93" s="422"/>
      <c r="W93" s="422"/>
      <c r="X93" s="4"/>
      <c r="Y93" s="4"/>
      <c r="Z93" s="4"/>
      <c r="AA93" s="4"/>
      <c r="AB93" s="4"/>
      <c r="AC93" s="4"/>
      <c r="AD93" s="4"/>
      <c r="AE93" s="4"/>
      <c r="AF93" s="4"/>
    </row>
    <row r="94" spans="1:32" x14ac:dyDescent="0.25">
      <c r="A94" s="4"/>
      <c r="B94" s="422"/>
      <c r="C94" s="422"/>
      <c r="D94" s="422"/>
      <c r="E94" s="425"/>
      <c r="F94" s="425"/>
      <c r="G94" s="425"/>
      <c r="H94" s="425"/>
      <c r="I94" s="425"/>
      <c r="J94" s="422"/>
      <c r="K94" s="422"/>
      <c r="L94" s="426"/>
      <c r="M94" s="426"/>
      <c r="N94" s="426"/>
      <c r="O94" s="426"/>
      <c r="P94" s="422"/>
      <c r="Q94" s="422"/>
      <c r="R94" s="422"/>
      <c r="S94" s="422"/>
      <c r="T94" s="422"/>
      <c r="U94" s="422"/>
      <c r="V94" s="422"/>
      <c r="W94" s="422"/>
      <c r="X94" s="4"/>
      <c r="Y94" s="4"/>
      <c r="Z94" s="4"/>
      <c r="AA94" s="4"/>
      <c r="AB94" s="4"/>
      <c r="AC94" s="4"/>
      <c r="AD94" s="4"/>
      <c r="AE94" s="4"/>
      <c r="AF94" s="4"/>
    </row>
    <row r="95" spans="1:32" x14ac:dyDescent="0.25">
      <c r="A95" s="4"/>
      <c r="B95" s="422"/>
      <c r="C95" s="422"/>
      <c r="D95" s="422"/>
      <c r="E95" s="422"/>
      <c r="F95" s="422"/>
      <c r="G95" s="422"/>
      <c r="H95" s="422"/>
      <c r="I95" s="422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"/>
      <c r="Y95" s="4"/>
      <c r="Z95" s="4"/>
      <c r="AA95" s="4"/>
      <c r="AB95" s="4"/>
      <c r="AC95" s="4"/>
      <c r="AD95" s="4"/>
      <c r="AE95" s="4"/>
      <c r="AF95" s="4"/>
    </row>
    <row r="96" spans="1:32" x14ac:dyDescent="0.25">
      <c r="A96" s="4"/>
      <c r="B96" s="422"/>
      <c r="C96" s="422"/>
      <c r="D96" s="422"/>
      <c r="E96" s="422"/>
      <c r="F96" s="422"/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22"/>
      <c r="W96" s="422"/>
      <c r="X96" s="4"/>
      <c r="Y96" s="4"/>
      <c r="Z96" s="4"/>
      <c r="AA96" s="4"/>
      <c r="AB96" s="4"/>
      <c r="AC96" s="4"/>
      <c r="AD96" s="4"/>
      <c r="AE96" s="4"/>
      <c r="AF96" s="4"/>
    </row>
    <row r="113" ht="15" hidden="1" customHeight="1" x14ac:dyDescent="0.25"/>
    <row r="127" ht="15" hidden="1" customHeight="1" x14ac:dyDescent="0.25"/>
    <row r="128" ht="15" hidden="1" customHeight="1" x14ac:dyDescent="0.25"/>
  </sheetData>
  <mergeCells count="65">
    <mergeCell ref="B62:W62"/>
    <mergeCell ref="B63:W63"/>
    <mergeCell ref="B82:W82"/>
    <mergeCell ref="E91:G91"/>
    <mergeCell ref="L91:O91"/>
    <mergeCell ref="AB26:AB27"/>
    <mergeCell ref="AC26:AC27"/>
    <mergeCell ref="C43:C44"/>
    <mergeCell ref="C46:C47"/>
    <mergeCell ref="D59:W59"/>
    <mergeCell ref="B61:W61"/>
    <mergeCell ref="R26:T26"/>
    <mergeCell ref="U26:U27"/>
    <mergeCell ref="V26:V27"/>
    <mergeCell ref="W26:W27"/>
    <mergeCell ref="X26:Z26"/>
    <mergeCell ref="AA26:AA27"/>
    <mergeCell ref="B26:B27"/>
    <mergeCell ref="C26:C27"/>
    <mergeCell ref="D26:F26"/>
    <mergeCell ref="G26:G27"/>
    <mergeCell ref="J26:J27"/>
    <mergeCell ref="K26:K27"/>
    <mergeCell ref="AC13:AC14"/>
    <mergeCell ref="D25:K25"/>
    <mergeCell ref="L25:Q25"/>
    <mergeCell ref="R25:W25"/>
    <mergeCell ref="X25:AC25"/>
    <mergeCell ref="AD25:AD27"/>
    <mergeCell ref="L26:N26"/>
    <mergeCell ref="O26:O27"/>
    <mergeCell ref="P26:P27"/>
    <mergeCell ref="Q26:Q27"/>
    <mergeCell ref="U13:U14"/>
    <mergeCell ref="V13:V14"/>
    <mergeCell ref="W13:W14"/>
    <mergeCell ref="X13:Z13"/>
    <mergeCell ref="AA13:AA14"/>
    <mergeCell ref="AB13:AB14"/>
    <mergeCell ref="K13:K14"/>
    <mergeCell ref="L13:N13"/>
    <mergeCell ref="O13:O14"/>
    <mergeCell ref="P13:P14"/>
    <mergeCell ref="Q13:Q14"/>
    <mergeCell ref="R13:T13"/>
    <mergeCell ref="X10:AC10"/>
    <mergeCell ref="AD10:AD14"/>
    <mergeCell ref="D11:G11"/>
    <mergeCell ref="L11:O11"/>
    <mergeCell ref="R11:U11"/>
    <mergeCell ref="X11:AA11"/>
    <mergeCell ref="D12:K12"/>
    <mergeCell ref="L12:Q12"/>
    <mergeCell ref="R12:W12"/>
    <mergeCell ref="X12:AC12"/>
    <mergeCell ref="D4:W4"/>
    <mergeCell ref="D8:W8"/>
    <mergeCell ref="B10:B13"/>
    <mergeCell ref="C10:C13"/>
    <mergeCell ref="D10:K10"/>
    <mergeCell ref="L10:Q10"/>
    <mergeCell ref="R10:W10"/>
    <mergeCell ref="D13:F13"/>
    <mergeCell ref="G13:G14"/>
    <mergeCell ref="J13:J14"/>
  </mergeCells>
  <conditionalFormatting sqref="AD15:AD25">
    <cfRule type="cellIs" dxfId="47" priority="3" operator="equal">
      <formula>0</formula>
    </cfRule>
    <cfRule type="containsErrors" dxfId="46" priority="4">
      <formula>ISERROR(AD15)</formula>
    </cfRule>
  </conditionalFormatting>
  <conditionalFormatting sqref="AD28:AD41">
    <cfRule type="cellIs" dxfId="45" priority="1" operator="equal">
      <formula>0</formula>
    </cfRule>
    <cfRule type="containsErrors" dxfId="44" priority="2">
      <formula>ISERROR(AD28)</formula>
    </cfRule>
  </conditionalFormatting>
  <pageMargins left="0.25" right="0.25" top="0.75" bottom="0.75" header="0.3" footer="0.3"/>
  <pageSetup paperSize="8" scale="42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80" zoomScaleNormal="80" zoomScaleSheetLayoutView="80" workbookViewId="0">
      <selection activeCell="C84" sqref="C8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203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552">
        <v>46789791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429" t="s">
        <v>202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856</v>
      </c>
      <c r="G15" s="63">
        <f>SUM(D15:F15)</f>
        <v>856</v>
      </c>
      <c r="H15" s="66">
        <v>162.5</v>
      </c>
      <c r="I15" s="14">
        <f>G15+H15</f>
        <v>1018.5</v>
      </c>
      <c r="J15" s="551"/>
      <c r="K15" s="550"/>
      <c r="L15" s="549">
        <v>550</v>
      </c>
      <c r="M15" s="548">
        <f>SUM(J15:L15)</f>
        <v>550</v>
      </c>
      <c r="N15" s="542">
        <v>220</v>
      </c>
      <c r="O15" s="532">
        <f>M15+N15</f>
        <v>770</v>
      </c>
      <c r="P15" s="12"/>
      <c r="Q15" s="13"/>
      <c r="R15" s="436">
        <v>660.4</v>
      </c>
      <c r="S15" s="63">
        <f>SUM(P15:R15)</f>
        <v>660.4</v>
      </c>
      <c r="T15" s="66">
        <v>108.8</v>
      </c>
      <c r="U15" s="14">
        <f>S15+T15</f>
        <v>769.19999999999993</v>
      </c>
      <c r="V15" s="12"/>
      <c r="W15" s="13"/>
      <c r="X15" s="56">
        <v>550</v>
      </c>
      <c r="Y15" s="63">
        <f>SUM(V15:X15)</f>
        <v>550</v>
      </c>
      <c r="Z15" s="66">
        <v>220</v>
      </c>
      <c r="AA15" s="14">
        <f>Y15+Z15</f>
        <v>770</v>
      </c>
      <c r="AB15" s="147">
        <f>(AA15/O15)</f>
        <v>1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4360.6000000000004</v>
      </c>
      <c r="E16" s="16"/>
      <c r="F16" s="16"/>
      <c r="G16" s="64">
        <f>SUM(D16:F16)</f>
        <v>4360.6000000000004</v>
      </c>
      <c r="H16" s="67"/>
      <c r="I16" s="14">
        <f>G16+H16</f>
        <v>4360.6000000000004</v>
      </c>
      <c r="J16" s="547">
        <v>4866.8</v>
      </c>
      <c r="K16" s="536"/>
      <c r="L16" s="536"/>
      <c r="M16" s="534">
        <f>SUM(J16:L16)</f>
        <v>4866.8</v>
      </c>
      <c r="N16" s="546"/>
      <c r="O16" s="532">
        <f>M16+N16</f>
        <v>4866.8</v>
      </c>
      <c r="P16" s="57">
        <v>2433.6</v>
      </c>
      <c r="Q16" s="441"/>
      <c r="R16" s="16"/>
      <c r="S16" s="64">
        <f>SUM(P16:R16)</f>
        <v>2433.6</v>
      </c>
      <c r="T16" s="67"/>
      <c r="U16" s="14">
        <f>S16+T16</f>
        <v>2433.6</v>
      </c>
      <c r="V16" s="57">
        <v>5000</v>
      </c>
      <c r="W16" s="16"/>
      <c r="X16" s="16"/>
      <c r="Y16" s="64">
        <f>SUM(V16:X16)</f>
        <v>5000</v>
      </c>
      <c r="Z16" s="67"/>
      <c r="AA16" s="14">
        <f>Y16+Z16</f>
        <v>5000</v>
      </c>
      <c r="AB16" s="147">
        <f>(AA16/O16)</f>
        <v>1.0273691131749814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>
        <v>367</v>
      </c>
      <c r="E17" s="17"/>
      <c r="F17" s="17"/>
      <c r="G17" s="64">
        <f>SUM(D17:F17)</f>
        <v>367</v>
      </c>
      <c r="H17" s="68"/>
      <c r="I17" s="14">
        <f>G17+H17</f>
        <v>367</v>
      </c>
      <c r="J17" s="545">
        <v>168.3</v>
      </c>
      <c r="K17" s="540"/>
      <c r="L17" s="540"/>
      <c r="M17" s="534">
        <f>SUM(J17:L17)</f>
        <v>168.3</v>
      </c>
      <c r="N17" s="544"/>
      <c r="O17" s="532">
        <f>M17+N17</f>
        <v>168.3</v>
      </c>
      <c r="P17" s="58">
        <v>15.3</v>
      </c>
      <c r="Q17" s="17"/>
      <c r="R17" s="17"/>
      <c r="S17" s="64">
        <f>SUM(P17:R17)</f>
        <v>15.3</v>
      </c>
      <c r="T17" s="68"/>
      <c r="U17" s="14">
        <f>S17+T17</f>
        <v>15.3</v>
      </c>
      <c r="V17" s="58">
        <v>172.9</v>
      </c>
      <c r="W17" s="17"/>
      <c r="X17" s="17"/>
      <c r="Y17" s="64">
        <f>SUM(V17:X17)</f>
        <v>172.9</v>
      </c>
      <c r="Z17" s="68"/>
      <c r="AA17" s="14">
        <f>Y17+Z17</f>
        <v>172.9</v>
      </c>
      <c r="AB17" s="147">
        <f>(AA17/O17)</f>
        <v>1.0273321449792037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48823.6</v>
      </c>
      <c r="F18" s="17"/>
      <c r="G18" s="64">
        <f>SUM(D18:F18)</f>
        <v>48823.6</v>
      </c>
      <c r="H18" s="66">
        <v>0</v>
      </c>
      <c r="I18" s="14">
        <f>G18+H18</f>
        <v>48823.6</v>
      </c>
      <c r="J18" s="537"/>
      <c r="K18" s="543">
        <v>55358.3</v>
      </c>
      <c r="L18" s="540"/>
      <c r="M18" s="534">
        <f>SUM(J18:L18)</f>
        <v>55358.3</v>
      </c>
      <c r="N18" s="542">
        <v>0</v>
      </c>
      <c r="O18" s="532">
        <f>M18+N18</f>
        <v>55358.3</v>
      </c>
      <c r="P18" s="18"/>
      <c r="Q18" s="59">
        <v>27545</v>
      </c>
      <c r="R18" s="17"/>
      <c r="S18" s="64">
        <f>SUM(P18:R18)</f>
        <v>27545</v>
      </c>
      <c r="T18" s="66">
        <v>0</v>
      </c>
      <c r="U18" s="14">
        <f>S18+T18</f>
        <v>27545</v>
      </c>
      <c r="V18" s="18"/>
      <c r="W18" s="59">
        <v>54521.7</v>
      </c>
      <c r="X18" s="17"/>
      <c r="Y18" s="64">
        <f>SUM(V18:X18)</f>
        <v>54521.7</v>
      </c>
      <c r="Z18" s="66">
        <v>0</v>
      </c>
      <c r="AA18" s="14">
        <f>Y18+Z18</f>
        <v>54521.7</v>
      </c>
      <c r="AB18" s="147">
        <f>(AA18/O18)</f>
        <v>0.98488754170557968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0</v>
      </c>
      <c r="G19" s="64">
        <f>SUM(D19:F19)</f>
        <v>0</v>
      </c>
      <c r="H19" s="69">
        <v>0</v>
      </c>
      <c r="I19" s="14">
        <f>G19+H19</f>
        <v>0</v>
      </c>
      <c r="J19" s="541"/>
      <c r="K19" s="540"/>
      <c r="L19" s="539">
        <v>0</v>
      </c>
      <c r="M19" s="534">
        <f>SUM(J19:L19)</f>
        <v>0</v>
      </c>
      <c r="N19" s="538">
        <v>0</v>
      </c>
      <c r="O19" s="532">
        <f>M19+N19</f>
        <v>0</v>
      </c>
      <c r="P19" s="19"/>
      <c r="Q19" s="17"/>
      <c r="R19" s="60">
        <v>0</v>
      </c>
      <c r="S19" s="64">
        <f>SUM(P19:R19)</f>
        <v>0</v>
      </c>
      <c r="T19" s="69">
        <v>0</v>
      </c>
      <c r="U19" s="14">
        <f>S19+T19</f>
        <v>0</v>
      </c>
      <c r="V19" s="19"/>
      <c r="W19" s="17"/>
      <c r="X19" s="60">
        <v>0</v>
      </c>
      <c r="Y19" s="64">
        <f>SUM(V19:X19)</f>
        <v>0</v>
      </c>
      <c r="Z19" s="69">
        <v>0</v>
      </c>
      <c r="AA19" s="14">
        <f>Y19+Z19</f>
        <v>0</v>
      </c>
      <c r="AB19" s="147" t="e">
        <f>(AA19/O19)</f>
        <v>#DIV/0!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>
        <v>648</v>
      </c>
      <c r="G20" s="64">
        <v>648</v>
      </c>
      <c r="H20" s="69">
        <v>0</v>
      </c>
      <c r="I20" s="14">
        <f>G20+H20</f>
        <v>648</v>
      </c>
      <c r="J20" s="537"/>
      <c r="K20" s="536"/>
      <c r="L20" s="535">
        <v>250.9</v>
      </c>
      <c r="M20" s="534">
        <f>SUM(J20:L20)</f>
        <v>250.9</v>
      </c>
      <c r="N20" s="538">
        <v>0</v>
      </c>
      <c r="O20" s="532">
        <f>M20+N20</f>
        <v>250.9</v>
      </c>
      <c r="P20" s="18"/>
      <c r="Q20" s="16"/>
      <c r="R20" s="61">
        <v>224.5</v>
      </c>
      <c r="S20" s="64">
        <f>SUM(P20:R20)</f>
        <v>224.5</v>
      </c>
      <c r="T20" s="69">
        <v>0</v>
      </c>
      <c r="U20" s="14">
        <f>S20+T20</f>
        <v>224.5</v>
      </c>
      <c r="V20" s="18"/>
      <c r="W20" s="16"/>
      <c r="X20" s="61">
        <v>250</v>
      </c>
      <c r="Y20" s="64">
        <f>SUM(V20:X20)</f>
        <v>250</v>
      </c>
      <c r="Z20" s="69">
        <v>0</v>
      </c>
      <c r="AA20" s="14">
        <f>Y20+Z20</f>
        <v>250</v>
      </c>
      <c r="AB20" s="147">
        <f>(AA20/O20)</f>
        <v>0.99641291351135908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238.9</v>
      </c>
      <c r="G21" s="64">
        <f>SUM(D21:F21)</f>
        <v>238.9</v>
      </c>
      <c r="H21" s="70">
        <v>563.20000000000005</v>
      </c>
      <c r="I21" s="14">
        <f>G21+H21</f>
        <v>802.1</v>
      </c>
      <c r="J21" s="537"/>
      <c r="K21" s="536"/>
      <c r="L21" s="535">
        <v>250</v>
      </c>
      <c r="M21" s="534">
        <f>SUM(J21:L21)</f>
        <v>250</v>
      </c>
      <c r="N21" s="533">
        <v>360</v>
      </c>
      <c r="O21" s="532">
        <f>M21+N21</f>
        <v>610</v>
      </c>
      <c r="P21" s="18"/>
      <c r="Q21" s="16"/>
      <c r="R21" s="61">
        <v>84.7</v>
      </c>
      <c r="S21" s="64">
        <f>SUM(P21:R21)</f>
        <v>84.7</v>
      </c>
      <c r="T21" s="70">
        <v>294.10000000000002</v>
      </c>
      <c r="U21" s="14">
        <f>S21+T21</f>
        <v>378.8</v>
      </c>
      <c r="V21" s="18"/>
      <c r="W21" s="16"/>
      <c r="X21" s="61">
        <v>350</v>
      </c>
      <c r="Y21" s="64">
        <f>SUM(V21:X21)</f>
        <v>350</v>
      </c>
      <c r="Z21" s="70">
        <v>360</v>
      </c>
      <c r="AA21" s="14">
        <f>Y21+Z21</f>
        <v>710</v>
      </c>
      <c r="AB21" s="147">
        <f>(AA21/O21)</f>
        <v>1.1639344262295082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>
        <v>0</v>
      </c>
      <c r="G22" s="64">
        <f>SUM(D22:F22)</f>
        <v>0</v>
      </c>
      <c r="H22" s="70">
        <v>563.20000000000005</v>
      </c>
      <c r="I22" s="14">
        <f>G22+H22</f>
        <v>563.20000000000005</v>
      </c>
      <c r="J22" s="537"/>
      <c r="K22" s="536"/>
      <c r="L22" s="535">
        <v>0</v>
      </c>
      <c r="M22" s="534">
        <f>SUM(J22:L22)</f>
        <v>0</v>
      </c>
      <c r="N22" s="533">
        <v>360</v>
      </c>
      <c r="O22" s="532">
        <f>M22+N22</f>
        <v>360</v>
      </c>
      <c r="P22" s="18"/>
      <c r="Q22" s="16"/>
      <c r="R22" s="61">
        <v>0</v>
      </c>
      <c r="S22" s="64">
        <f>SUM(P22:R22)</f>
        <v>0</v>
      </c>
      <c r="T22" s="70">
        <v>294.10000000000002</v>
      </c>
      <c r="U22" s="14">
        <f>S22+T22</f>
        <v>294.10000000000002</v>
      </c>
      <c r="V22" s="18"/>
      <c r="W22" s="16"/>
      <c r="X22" s="61">
        <v>0</v>
      </c>
      <c r="Y22" s="64">
        <f>SUM(V22:X22)</f>
        <v>0</v>
      </c>
      <c r="Z22" s="70">
        <v>360</v>
      </c>
      <c r="AA22" s="14">
        <f>Y22+Z22</f>
        <v>360</v>
      </c>
      <c r="AB22" s="147">
        <f>(AA22/O22)</f>
        <v>1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>
        <v>0</v>
      </c>
      <c r="G23" s="65">
        <f>SUM(D23:F23)</f>
        <v>0</v>
      </c>
      <c r="H23" s="71">
        <v>0</v>
      </c>
      <c r="I23" s="23">
        <f>G23+H23</f>
        <v>0</v>
      </c>
      <c r="J23" s="531"/>
      <c r="K23" s="530"/>
      <c r="L23" s="529">
        <v>0</v>
      </c>
      <c r="M23" s="528">
        <f>SUM(J23:L23)</f>
        <v>0</v>
      </c>
      <c r="N23" s="527">
        <v>0</v>
      </c>
      <c r="O23" s="526">
        <f>M23+N23</f>
        <v>0</v>
      </c>
      <c r="P23" s="21"/>
      <c r="Q23" s="22"/>
      <c r="R23" s="62">
        <v>0</v>
      </c>
      <c r="S23" s="65">
        <f>SUM(P23:R23)</f>
        <v>0</v>
      </c>
      <c r="T23" s="71">
        <v>0</v>
      </c>
      <c r="U23" s="23">
        <f>S23+T23</f>
        <v>0</v>
      </c>
      <c r="V23" s="21"/>
      <c r="W23" s="22"/>
      <c r="X23" s="62">
        <v>0</v>
      </c>
      <c r="Y23" s="65">
        <f>SUM(V23:X23)</f>
        <v>0</v>
      </c>
      <c r="Z23" s="71">
        <v>0</v>
      </c>
      <c r="AA23" s="23">
        <f>Y23+Z23</f>
        <v>0</v>
      </c>
      <c r="AB23" s="150" t="e">
        <f>(AA23/O23)</f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4727.6000000000004</v>
      </c>
      <c r="E24" s="27">
        <f>SUM(E15:E21)</f>
        <v>48823.6</v>
      </c>
      <c r="F24" s="27">
        <f>SUM(F15:F21)</f>
        <v>1742.9</v>
      </c>
      <c r="G24" s="28">
        <f>SUM(D24:F24)</f>
        <v>55294.1</v>
      </c>
      <c r="H24" s="29">
        <f>SUM(H15:H21)</f>
        <v>725.7</v>
      </c>
      <c r="I24" s="29">
        <f>SUM(I15:I21)</f>
        <v>56019.799999999996</v>
      </c>
      <c r="J24" s="525">
        <f>SUM(J15:J21)</f>
        <v>5035.1000000000004</v>
      </c>
      <c r="K24" s="524">
        <f>SUM(K15:K21)</f>
        <v>55358.3</v>
      </c>
      <c r="L24" s="524">
        <f>SUM(L15:L21)</f>
        <v>1050.9000000000001</v>
      </c>
      <c r="M24" s="523">
        <f>SUM(J24:L24)</f>
        <v>61444.3</v>
      </c>
      <c r="N24" s="522">
        <f>SUM(N15:N21)</f>
        <v>580</v>
      </c>
      <c r="O24" s="522">
        <f>SUM(O15:O21)</f>
        <v>62024.3</v>
      </c>
      <c r="P24" s="26">
        <f>SUM(P15:P21)</f>
        <v>2448.9</v>
      </c>
      <c r="Q24" s="27">
        <f>SUM(Q15:Q21)</f>
        <v>27545</v>
      </c>
      <c r="R24" s="27">
        <f>SUM(R15:R21)</f>
        <v>969.6</v>
      </c>
      <c r="S24" s="28">
        <f>SUM(P24:R24)</f>
        <v>30963.5</v>
      </c>
      <c r="T24" s="29">
        <f>SUM(T15:T21)</f>
        <v>402.90000000000003</v>
      </c>
      <c r="U24" s="29">
        <f>SUM(U15:U21)</f>
        <v>31366.399999999998</v>
      </c>
      <c r="V24" s="26">
        <f>SUM(V15:V21)</f>
        <v>5172.8999999999996</v>
      </c>
      <c r="W24" s="27">
        <f>SUM(W15:W21)</f>
        <v>54521.7</v>
      </c>
      <c r="X24" s="27">
        <f>SUM(X15:X21)</f>
        <v>1150</v>
      </c>
      <c r="Y24" s="28">
        <f>SUM(V24:X24)</f>
        <v>60844.6</v>
      </c>
      <c r="Z24" s="29">
        <f>SUM(Z15:Z21)</f>
        <v>580</v>
      </c>
      <c r="AA24" s="29">
        <f>SUM(AA15:AA21)</f>
        <v>61424.6</v>
      </c>
      <c r="AB24" s="151">
        <f>(AA24/O24)</f>
        <v>0.99033120889715798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462" t="s">
        <v>68</v>
      </c>
      <c r="K25" s="463"/>
      <c r="L25" s="463"/>
      <c r="M25" s="464"/>
      <c r="N25" s="464"/>
      <c r="O25" s="46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466" t="s">
        <v>69</v>
      </c>
      <c r="K26" s="467"/>
      <c r="L26" s="467"/>
      <c r="M26" s="468" t="s">
        <v>64</v>
      </c>
      <c r="N26" s="469" t="s">
        <v>67</v>
      </c>
      <c r="O26" s="470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471" t="s">
        <v>54</v>
      </c>
      <c r="K27" s="472" t="s">
        <v>55</v>
      </c>
      <c r="L27" s="473" t="s">
        <v>56</v>
      </c>
      <c r="M27" s="474"/>
      <c r="N27" s="475"/>
      <c r="O27" s="47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523.20000000000005</v>
      </c>
      <c r="E28" s="72">
        <v>0</v>
      </c>
      <c r="F28" s="72">
        <v>0</v>
      </c>
      <c r="G28" s="73">
        <f>SUM(D28:F28)</f>
        <v>523.20000000000005</v>
      </c>
      <c r="H28" s="73">
        <v>116.5</v>
      </c>
      <c r="I28" s="37">
        <f>G28+H28</f>
        <v>639.70000000000005</v>
      </c>
      <c r="J28" s="521">
        <v>450</v>
      </c>
      <c r="K28" s="478">
        <v>0</v>
      </c>
      <c r="L28" s="478">
        <v>250</v>
      </c>
      <c r="M28" s="479">
        <f>SUM(J28:L28)</f>
        <v>700</v>
      </c>
      <c r="N28" s="479">
        <v>60</v>
      </c>
      <c r="O28" s="480">
        <f>M28+N28</f>
        <v>760</v>
      </c>
      <c r="P28" s="80">
        <v>54.7</v>
      </c>
      <c r="Q28" s="72">
        <v>0</v>
      </c>
      <c r="R28" s="72">
        <v>0</v>
      </c>
      <c r="S28" s="73">
        <f>SUM(P28:R28)</f>
        <v>54.7</v>
      </c>
      <c r="T28" s="73">
        <v>0</v>
      </c>
      <c r="U28" s="37">
        <f>S28+T28</f>
        <v>54.7</v>
      </c>
      <c r="V28" s="520">
        <v>475</v>
      </c>
      <c r="W28" s="72">
        <v>0</v>
      </c>
      <c r="X28" s="72">
        <v>320</v>
      </c>
      <c r="Y28" s="519">
        <f>SUM(V28:X28)</f>
        <v>795</v>
      </c>
      <c r="Z28" s="73">
        <v>130</v>
      </c>
      <c r="AA28" s="37">
        <f>Y28+Z28</f>
        <v>925</v>
      </c>
      <c r="AB28" s="147">
        <f>(AA28/O28)</f>
        <v>1.2171052631578947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481">
        <v>649.5</v>
      </c>
      <c r="E29" s="74">
        <v>161.69999999999999</v>
      </c>
      <c r="F29" s="74">
        <v>910.3</v>
      </c>
      <c r="G29" s="75">
        <f>SUM(D29:F29)</f>
        <v>1721.5</v>
      </c>
      <c r="H29" s="76">
        <v>106.8</v>
      </c>
      <c r="I29" s="14">
        <f>G29+H29</f>
        <v>1828.3</v>
      </c>
      <c r="J29" s="482">
        <v>545</v>
      </c>
      <c r="K29" s="483">
        <v>300</v>
      </c>
      <c r="L29" s="483">
        <v>550</v>
      </c>
      <c r="M29" s="484">
        <f>SUM(J29:L29)</f>
        <v>1395</v>
      </c>
      <c r="N29" s="485">
        <v>303</v>
      </c>
      <c r="O29" s="435">
        <f>M29+N29</f>
        <v>1698</v>
      </c>
      <c r="P29" s="81">
        <v>310</v>
      </c>
      <c r="Q29" s="74">
        <v>125.9</v>
      </c>
      <c r="R29" s="74">
        <v>664.7</v>
      </c>
      <c r="S29" s="75">
        <f>SUM(P29:R29)</f>
        <v>1100.5999999999999</v>
      </c>
      <c r="T29" s="76">
        <v>34.6</v>
      </c>
      <c r="U29" s="14">
        <f>S29+T29</f>
        <v>1135.1999999999998</v>
      </c>
      <c r="V29" s="81">
        <v>545</v>
      </c>
      <c r="W29" s="74">
        <v>300</v>
      </c>
      <c r="X29" s="74">
        <v>550</v>
      </c>
      <c r="Y29" s="76">
        <f>SUM(V29:X29)</f>
        <v>1395</v>
      </c>
      <c r="Z29" s="76">
        <v>150</v>
      </c>
      <c r="AA29" s="14">
        <f>Y29+Z29</f>
        <v>1545</v>
      </c>
      <c r="AB29" s="147">
        <f>(AA29/O29)</f>
        <v>0.90989399293286222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1740.3</v>
      </c>
      <c r="E30" s="77">
        <v>0</v>
      </c>
      <c r="F30" s="77">
        <v>0</v>
      </c>
      <c r="G30" s="75">
        <f>SUM(D30:F30)</f>
        <v>1740.3</v>
      </c>
      <c r="H30" s="75">
        <v>150</v>
      </c>
      <c r="I30" s="14">
        <f>G30+H30</f>
        <v>1890.3</v>
      </c>
      <c r="J30" s="482">
        <v>2012</v>
      </c>
      <c r="K30" s="487">
        <v>0</v>
      </c>
      <c r="L30" s="488">
        <v>0</v>
      </c>
      <c r="M30" s="484">
        <f>SUM(J30:L30)</f>
        <v>2012</v>
      </c>
      <c r="N30" s="484">
        <v>150</v>
      </c>
      <c r="O30" s="435">
        <f>M30+N30</f>
        <v>2162</v>
      </c>
      <c r="P30" s="82">
        <v>1309.5999999999999</v>
      </c>
      <c r="Q30" s="77">
        <v>0</v>
      </c>
      <c r="R30" s="77">
        <v>0</v>
      </c>
      <c r="S30" s="75">
        <f>SUM(P30:R30)</f>
        <v>1309.5999999999999</v>
      </c>
      <c r="T30" s="75">
        <v>0</v>
      </c>
      <c r="U30" s="14">
        <f>S30+T30</f>
        <v>1309.5999999999999</v>
      </c>
      <c r="V30" s="81">
        <v>2047.5</v>
      </c>
      <c r="W30" s="77">
        <v>0</v>
      </c>
      <c r="X30" s="77">
        <v>0</v>
      </c>
      <c r="Y30" s="76">
        <f>SUM(V30:X30)</f>
        <v>2047.5</v>
      </c>
      <c r="Z30" s="75">
        <v>150</v>
      </c>
      <c r="AA30" s="14">
        <f>Y30+Z30</f>
        <v>2197.5</v>
      </c>
      <c r="AB30" s="147">
        <f>(AA30/O30)</f>
        <v>1.0164199814986123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1006.1</v>
      </c>
      <c r="E31" s="77">
        <v>23.7</v>
      </c>
      <c r="F31" s="77">
        <v>13.3</v>
      </c>
      <c r="G31" s="75">
        <f>SUM(D31:F31)</f>
        <v>1043.0999999999999</v>
      </c>
      <c r="H31" s="75">
        <v>50.2</v>
      </c>
      <c r="I31" s="14">
        <f>G31+H31</f>
        <v>1093.3</v>
      </c>
      <c r="J31" s="482">
        <v>857</v>
      </c>
      <c r="K31" s="488">
        <v>45</v>
      </c>
      <c r="L31" s="488">
        <v>0</v>
      </c>
      <c r="M31" s="484">
        <f>SUM(J31:L31)</f>
        <v>902</v>
      </c>
      <c r="N31" s="484">
        <v>0</v>
      </c>
      <c r="O31" s="435">
        <f>M31+N31</f>
        <v>902</v>
      </c>
      <c r="P31" s="82">
        <v>345.1</v>
      </c>
      <c r="Q31" s="77">
        <v>67.2</v>
      </c>
      <c r="R31" s="77">
        <v>2.8</v>
      </c>
      <c r="S31" s="75">
        <f>SUM(P31:R31)</f>
        <v>415.1</v>
      </c>
      <c r="T31" s="75">
        <v>0</v>
      </c>
      <c r="U31" s="14">
        <f>S31+T31</f>
        <v>415.1</v>
      </c>
      <c r="V31" s="81">
        <v>887</v>
      </c>
      <c r="W31" s="77">
        <v>50</v>
      </c>
      <c r="X31" s="77">
        <v>0</v>
      </c>
      <c r="Y31" s="76">
        <f>SUM(V31:X31)</f>
        <v>937</v>
      </c>
      <c r="Z31" s="75">
        <v>80</v>
      </c>
      <c r="AA31" s="14">
        <f>Y31+Z31</f>
        <v>1017</v>
      </c>
      <c r="AB31" s="147">
        <f>(AA31/O31)</f>
        <v>1.1274944567627494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499">
        <v>62.1</v>
      </c>
      <c r="E32" s="77">
        <v>35572</v>
      </c>
      <c r="F32" s="77">
        <v>41.5</v>
      </c>
      <c r="G32" s="75">
        <f>SUM(D32:F32)</f>
        <v>35675.599999999999</v>
      </c>
      <c r="H32" s="75">
        <v>41</v>
      </c>
      <c r="I32" s="14">
        <f>G32+H32</f>
        <v>35716.6</v>
      </c>
      <c r="J32" s="482">
        <v>70</v>
      </c>
      <c r="K32" s="488">
        <v>39593.800000000003</v>
      </c>
      <c r="L32" s="488">
        <v>0</v>
      </c>
      <c r="M32" s="484">
        <f>SUM(J32:L32)</f>
        <v>39663.800000000003</v>
      </c>
      <c r="N32" s="484">
        <v>50</v>
      </c>
      <c r="O32" s="435">
        <f>M32+N32</f>
        <v>39713.800000000003</v>
      </c>
      <c r="P32" s="83">
        <v>0</v>
      </c>
      <c r="Q32" s="77">
        <v>19593.8</v>
      </c>
      <c r="R32" s="77">
        <v>0</v>
      </c>
      <c r="S32" s="75">
        <f>SUM(P32:R32)</f>
        <v>19593.8</v>
      </c>
      <c r="T32" s="75">
        <v>14.6</v>
      </c>
      <c r="U32" s="14">
        <f>S32+T32</f>
        <v>19608.399999999998</v>
      </c>
      <c r="V32" s="518">
        <v>72.8</v>
      </c>
      <c r="W32" s="77">
        <v>39447.300000000003</v>
      </c>
      <c r="X32" s="77">
        <v>0</v>
      </c>
      <c r="Y32" s="76">
        <f>SUM(V32:X32)</f>
        <v>39520.100000000006</v>
      </c>
      <c r="Z32" s="75">
        <v>50</v>
      </c>
      <c r="AA32" s="14">
        <f>Y32+Z32</f>
        <v>39570.100000000006</v>
      </c>
      <c r="AB32" s="147">
        <f>(AA32/O32)</f>
        <v>0.99638161042257356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499">
        <v>62.1</v>
      </c>
      <c r="E33" s="77">
        <v>35265.5</v>
      </c>
      <c r="F33" s="77">
        <v>41.5</v>
      </c>
      <c r="G33" s="75">
        <f>SUM(D33:F33)</f>
        <v>35369.1</v>
      </c>
      <c r="H33" s="75">
        <v>41</v>
      </c>
      <c r="I33" s="14">
        <f>G33+H33</f>
        <v>35410.1</v>
      </c>
      <c r="J33" s="482">
        <v>70</v>
      </c>
      <c r="K33" s="488">
        <v>39206.800000000003</v>
      </c>
      <c r="L33" s="488">
        <v>0</v>
      </c>
      <c r="M33" s="484">
        <f>SUM(J33:L33)</f>
        <v>39276.800000000003</v>
      </c>
      <c r="N33" s="484">
        <v>50</v>
      </c>
      <c r="O33" s="435">
        <f>M33+N33</f>
        <v>39326.800000000003</v>
      </c>
      <c r="P33" s="83">
        <v>0</v>
      </c>
      <c r="Q33" s="77">
        <v>19268</v>
      </c>
      <c r="R33" s="77">
        <v>0</v>
      </c>
      <c r="S33" s="75">
        <f>SUM(P33:R33)</f>
        <v>19268</v>
      </c>
      <c r="T33" s="75">
        <v>14.6</v>
      </c>
      <c r="U33" s="14">
        <f>S33+T33</f>
        <v>19282.599999999999</v>
      </c>
      <c r="V33" s="518">
        <v>72.8</v>
      </c>
      <c r="W33" s="77">
        <v>39206.699999999997</v>
      </c>
      <c r="X33" s="77">
        <v>0</v>
      </c>
      <c r="Y33" s="76">
        <f>SUM(V33:X33)</f>
        <v>39279.5</v>
      </c>
      <c r="Z33" s="75">
        <v>50</v>
      </c>
      <c r="AA33" s="14">
        <f>Y33+Z33</f>
        <v>39329.5</v>
      </c>
      <c r="AB33" s="147">
        <f>(AA33/O33)</f>
        <v>1.0000686554715867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499">
        <v>0</v>
      </c>
      <c r="E34" s="77">
        <v>306.5</v>
      </c>
      <c r="F34" s="77">
        <v>0</v>
      </c>
      <c r="G34" s="75">
        <f>SUM(D34:F34)</f>
        <v>306.5</v>
      </c>
      <c r="H34" s="75">
        <v>0</v>
      </c>
      <c r="I34" s="14">
        <f>G34+H34</f>
        <v>306.5</v>
      </c>
      <c r="J34" s="482">
        <v>0</v>
      </c>
      <c r="K34" s="488">
        <v>387</v>
      </c>
      <c r="L34" s="488">
        <v>0</v>
      </c>
      <c r="M34" s="484">
        <f>SUM(J34:L34)</f>
        <v>387</v>
      </c>
      <c r="N34" s="484">
        <v>0</v>
      </c>
      <c r="O34" s="435">
        <f>M34+N34</f>
        <v>387</v>
      </c>
      <c r="P34" s="83">
        <v>0</v>
      </c>
      <c r="Q34" s="77">
        <v>325.7</v>
      </c>
      <c r="R34" s="77">
        <v>0</v>
      </c>
      <c r="S34" s="75">
        <f>SUM(P34:R34)</f>
        <v>325.7</v>
      </c>
      <c r="T34" s="75">
        <v>0</v>
      </c>
      <c r="U34" s="14">
        <f>S34+T34</f>
        <v>325.7</v>
      </c>
      <c r="V34" s="518">
        <v>0</v>
      </c>
      <c r="W34" s="77">
        <v>240.6</v>
      </c>
      <c r="X34" s="77">
        <v>0</v>
      </c>
      <c r="Y34" s="76">
        <f>SUM(V34:X34)</f>
        <v>240.6</v>
      </c>
      <c r="Z34" s="75">
        <v>0</v>
      </c>
      <c r="AA34" s="14">
        <f>Y34+Z34</f>
        <v>240.6</v>
      </c>
      <c r="AB34" s="147">
        <f>(AA34/O34)</f>
        <v>0.6217054263565891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499">
        <v>22.7</v>
      </c>
      <c r="E35" s="77">
        <v>11591.4</v>
      </c>
      <c r="F35" s="77">
        <v>12.4</v>
      </c>
      <c r="G35" s="75">
        <f>SUM(D35:F35)</f>
        <v>11626.5</v>
      </c>
      <c r="H35" s="75">
        <v>13.8</v>
      </c>
      <c r="I35" s="14">
        <f>G35+H35</f>
        <v>11640.3</v>
      </c>
      <c r="J35" s="482">
        <v>23.6</v>
      </c>
      <c r="K35" s="488">
        <v>13251.9</v>
      </c>
      <c r="L35" s="488">
        <v>0</v>
      </c>
      <c r="M35" s="484">
        <f>SUM(J35:L35)</f>
        <v>13275.5</v>
      </c>
      <c r="N35" s="484">
        <v>16</v>
      </c>
      <c r="O35" s="435">
        <f>M35+N35</f>
        <v>13291.5</v>
      </c>
      <c r="P35" s="83">
        <v>0</v>
      </c>
      <c r="Q35" s="77">
        <v>6395.2</v>
      </c>
      <c r="R35" s="77">
        <v>0</v>
      </c>
      <c r="S35" s="75">
        <f>SUM(P35:R35)</f>
        <v>6395.2</v>
      </c>
      <c r="T35" s="75">
        <v>4.9000000000000004</v>
      </c>
      <c r="U35" s="14">
        <f>S35+T35</f>
        <v>6400.0999999999995</v>
      </c>
      <c r="V35" s="518">
        <v>24.6</v>
      </c>
      <c r="W35" s="77">
        <v>13252.3</v>
      </c>
      <c r="X35" s="77">
        <v>0</v>
      </c>
      <c r="Y35" s="76">
        <f>SUM(V35:X35)</f>
        <v>13276.9</v>
      </c>
      <c r="Z35" s="75">
        <v>16</v>
      </c>
      <c r="AA35" s="14">
        <f>Y35+Z35</f>
        <v>13292.9</v>
      </c>
      <c r="AB35" s="147">
        <f>(AA35/O35)</f>
        <v>1.0001053304743632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>
        <v>0</v>
      </c>
      <c r="E36" s="77">
        <v>0</v>
      </c>
      <c r="F36" s="77">
        <v>25.7</v>
      </c>
      <c r="G36" s="75">
        <f>SUM(D36:F36)</f>
        <v>25.7</v>
      </c>
      <c r="H36" s="75">
        <v>0</v>
      </c>
      <c r="I36" s="14">
        <f>G36+H36</f>
        <v>25.7</v>
      </c>
      <c r="J36" s="482">
        <v>0</v>
      </c>
      <c r="K36" s="488">
        <v>0</v>
      </c>
      <c r="L36" s="488">
        <v>0</v>
      </c>
      <c r="M36" s="484">
        <f>SUM(J36:L36)</f>
        <v>0</v>
      </c>
      <c r="N36" s="484">
        <v>0</v>
      </c>
      <c r="O36" s="435">
        <f>M36+N36</f>
        <v>0</v>
      </c>
      <c r="P36" s="82">
        <v>0</v>
      </c>
      <c r="Q36" s="77">
        <v>0</v>
      </c>
      <c r="R36" s="77">
        <v>15.8</v>
      </c>
      <c r="S36" s="75">
        <f>SUM(P36:R36)</f>
        <v>15.8</v>
      </c>
      <c r="T36" s="75">
        <v>0</v>
      </c>
      <c r="U36" s="14">
        <f>S36+T36</f>
        <v>15.8</v>
      </c>
      <c r="V36" s="81">
        <v>0</v>
      </c>
      <c r="W36" s="77">
        <v>0</v>
      </c>
      <c r="X36" s="77">
        <v>30</v>
      </c>
      <c r="Y36" s="76">
        <f>SUM(V36:X36)</f>
        <v>30</v>
      </c>
      <c r="Z36" s="75">
        <v>0</v>
      </c>
      <c r="AA36" s="14">
        <f>Y36+Z36</f>
        <v>30</v>
      </c>
      <c r="AB36" s="147" t="e">
        <f>(AA36/O36)</f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886.9</v>
      </c>
      <c r="E37" s="77">
        <v>0</v>
      </c>
      <c r="F37" s="77">
        <v>0</v>
      </c>
      <c r="G37" s="75">
        <f>SUM(D37:F37)</f>
        <v>886.9</v>
      </c>
      <c r="H37" s="75">
        <v>0</v>
      </c>
      <c r="I37" s="14">
        <f>G37+H37</f>
        <v>886.9</v>
      </c>
      <c r="J37" s="482">
        <v>854.8</v>
      </c>
      <c r="K37" s="488">
        <v>0</v>
      </c>
      <c r="L37" s="488">
        <v>0</v>
      </c>
      <c r="M37" s="484">
        <f>SUM(J37:L37)</f>
        <v>854.8</v>
      </c>
      <c r="N37" s="484">
        <v>0</v>
      </c>
      <c r="O37" s="435">
        <f>M37+N37</f>
        <v>854.8</v>
      </c>
      <c r="P37" s="82">
        <v>427.4</v>
      </c>
      <c r="Q37" s="77">
        <v>0</v>
      </c>
      <c r="R37" s="77">
        <v>0</v>
      </c>
      <c r="S37" s="75">
        <f>SUM(P37:R37)</f>
        <v>427.4</v>
      </c>
      <c r="T37" s="75">
        <v>0</v>
      </c>
      <c r="U37" s="14">
        <f>S37+T37</f>
        <v>427.4</v>
      </c>
      <c r="V37" s="81">
        <v>854.8</v>
      </c>
      <c r="W37" s="77">
        <v>0</v>
      </c>
      <c r="X37" s="77">
        <v>0</v>
      </c>
      <c r="Y37" s="76">
        <f>SUM(V37:X37)</f>
        <v>854.8</v>
      </c>
      <c r="Z37" s="75">
        <v>0</v>
      </c>
      <c r="AA37" s="14">
        <f>Y37+Z37</f>
        <v>854.8</v>
      </c>
      <c r="AB37" s="147">
        <f>(AA37/O37)</f>
        <v>1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351">
        <v>322.10000000000002</v>
      </c>
      <c r="E38" s="351">
        <v>1474.8</v>
      </c>
      <c r="F38" s="78">
        <v>254.4</v>
      </c>
      <c r="G38" s="75">
        <f>SUM(D38:F38)</f>
        <v>2051.3000000000002</v>
      </c>
      <c r="H38" s="79">
        <v>0.8</v>
      </c>
      <c r="I38" s="23">
        <f>G38+H38</f>
        <v>2052.1000000000004</v>
      </c>
      <c r="J38" s="517">
        <v>222.7</v>
      </c>
      <c r="K38" s="490">
        <v>2167.6</v>
      </c>
      <c r="L38" s="490">
        <v>250.9</v>
      </c>
      <c r="M38" s="491">
        <f>SUM(J38:L38)</f>
        <v>2641.2</v>
      </c>
      <c r="N38" s="491">
        <v>1</v>
      </c>
      <c r="O38" s="457">
        <f>M38+N38</f>
        <v>2642.2</v>
      </c>
      <c r="P38" s="84">
        <v>69.3</v>
      </c>
      <c r="Q38" s="78">
        <v>532</v>
      </c>
      <c r="R38" s="78">
        <v>216.5</v>
      </c>
      <c r="S38" s="79">
        <f>SUM(P38:R38)</f>
        <v>817.8</v>
      </c>
      <c r="T38" s="79">
        <v>0.3</v>
      </c>
      <c r="U38" s="23">
        <f>S38+T38</f>
        <v>818.09999999999991</v>
      </c>
      <c r="V38" s="516">
        <v>266.2</v>
      </c>
      <c r="W38" s="78">
        <v>1472.1</v>
      </c>
      <c r="X38" s="78">
        <v>250</v>
      </c>
      <c r="Y38" s="515">
        <f>SUM(V38:X38)</f>
        <v>1988.3</v>
      </c>
      <c r="Z38" s="79">
        <v>4</v>
      </c>
      <c r="AA38" s="23">
        <f>Y38+Z38</f>
        <v>1992.3</v>
      </c>
      <c r="AB38" s="150">
        <f>(AA38/O38)</f>
        <v>0.75403073196578607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5212.8999999999996</v>
      </c>
      <c r="E39" s="42">
        <f>SUM(E35:E38)+SUM(E28:E32)</f>
        <v>48823.6</v>
      </c>
      <c r="F39" s="42">
        <f>SUM(F35:F38)+SUM(F28:F32)</f>
        <v>1257.5999999999999</v>
      </c>
      <c r="G39" s="146">
        <f>SUM(D39:F39)</f>
        <v>55294.1</v>
      </c>
      <c r="H39" s="43">
        <f>SUM(H28:H32)+SUM(H35:H38)</f>
        <v>479.1</v>
      </c>
      <c r="I39" s="44">
        <f>SUM(I35:I38)+SUM(I28:I32)</f>
        <v>55773.2</v>
      </c>
      <c r="J39" s="492">
        <f>SUM(J35:J38)+SUM(J28:J32)</f>
        <v>5035.1000000000004</v>
      </c>
      <c r="K39" s="492">
        <f>SUM(K35:K38)+SUM(K28:K32)</f>
        <v>55358.3</v>
      </c>
      <c r="L39" s="492">
        <f>SUM(L35:L38)+SUM(L28:L32)</f>
        <v>1050.9000000000001</v>
      </c>
      <c r="M39" s="493">
        <f>SUM(J39:L39)</f>
        <v>61444.3</v>
      </c>
      <c r="N39" s="494">
        <f>SUM(N28:N32)+SUM(N35:N38)</f>
        <v>580</v>
      </c>
      <c r="O39" s="495">
        <f>SUM(O35:O38)+SUM(O28:O32)</f>
        <v>62024.3</v>
      </c>
      <c r="P39" s="42">
        <f>SUM(P35:P38)+SUM(P28:P32)</f>
        <v>2516.1</v>
      </c>
      <c r="Q39" s="42">
        <f>SUM(Q35:Q38)+SUM(Q28:Q32)</f>
        <v>26714.1</v>
      </c>
      <c r="R39" s="42">
        <f>SUM(R35:R38)+SUM(R28:R32)</f>
        <v>899.8</v>
      </c>
      <c r="S39" s="146">
        <f>SUM(P39:R39)</f>
        <v>30129.999999999996</v>
      </c>
      <c r="T39" s="43">
        <f>SUM(T28:T32)+SUM(T35:T38)</f>
        <v>54.400000000000006</v>
      </c>
      <c r="U39" s="44">
        <f>SUM(U35:U38)+SUM(U28:U32)</f>
        <v>30184.399999999994</v>
      </c>
      <c r="V39" s="42">
        <f>SUM(V28:V32,V35:V38)</f>
        <v>5172.8999999999996</v>
      </c>
      <c r="W39" s="42">
        <f>SUM(W35:W38)+SUM(W28:W32)</f>
        <v>54521.700000000004</v>
      </c>
      <c r="X39" s="42">
        <f>SUM(X35:X38)+SUM(X28:X32)</f>
        <v>1150</v>
      </c>
      <c r="Y39" s="146">
        <f>SUM(V39:X39)</f>
        <v>60844.600000000006</v>
      </c>
      <c r="Z39" s="43">
        <f>SUM(Z28:Z32)+SUM(Z35:Z38)</f>
        <v>580</v>
      </c>
      <c r="AA39" s="44">
        <f>SUM(AA35:AA38)+SUM(AA28:AA32)</f>
        <v>61424.600000000006</v>
      </c>
      <c r="AB39" s="152">
        <f>(AA39/O39)</f>
        <v>0.99033120889715809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>D24-D39</f>
        <v>-485.29999999999927</v>
      </c>
      <c r="E40" s="109">
        <f>E24-E39</f>
        <v>0</v>
      </c>
      <c r="F40" s="109">
        <f>F24-F39</f>
        <v>485.30000000000018</v>
      </c>
      <c r="G40" s="118">
        <f>G24-G39</f>
        <v>0</v>
      </c>
      <c r="H40" s="118">
        <f>H24-H39</f>
        <v>246.60000000000002</v>
      </c>
      <c r="I40" s="119">
        <f>I24-I39</f>
        <v>246.59999999999854</v>
      </c>
      <c r="J40" s="109">
        <f>J24-J39</f>
        <v>0</v>
      </c>
      <c r="K40" s="109">
        <f>K24-K39</f>
        <v>0</v>
      </c>
      <c r="L40" s="109">
        <f>L24-L39</f>
        <v>0</v>
      </c>
      <c r="M40" s="496">
        <f>M24-M39</f>
        <v>0</v>
      </c>
      <c r="N40" s="496">
        <f>N24-N39</f>
        <v>0</v>
      </c>
      <c r="O40" s="497">
        <f>O24-O39</f>
        <v>0</v>
      </c>
      <c r="P40" s="109">
        <f>P24-P39</f>
        <v>-67.199999999999818</v>
      </c>
      <c r="Q40" s="109">
        <f>Q24-Q39</f>
        <v>830.90000000000146</v>
      </c>
      <c r="R40" s="109">
        <f>R24-R39</f>
        <v>69.800000000000068</v>
      </c>
      <c r="S40" s="118">
        <f>S24-S39</f>
        <v>833.50000000000364</v>
      </c>
      <c r="T40" s="118">
        <f>T24-T39</f>
        <v>348.5</v>
      </c>
      <c r="U40" s="119">
        <f>U24-U39</f>
        <v>1182.0000000000036</v>
      </c>
      <c r="V40" s="109">
        <f>V24-V39</f>
        <v>0</v>
      </c>
      <c r="W40" s="109">
        <f>W24-W39</f>
        <v>0</v>
      </c>
      <c r="X40" s="109">
        <f>X24-X39</f>
        <v>0</v>
      </c>
      <c r="Y40" s="118">
        <f>Y24-Y39</f>
        <v>0</v>
      </c>
      <c r="Z40" s="118">
        <f>Z24-Z39</f>
        <v>0</v>
      </c>
      <c r="AA40" s="119">
        <f>AA24-AA39</f>
        <v>0</v>
      </c>
      <c r="AB40" s="153" t="e">
        <f>(AA40/O40)</f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-4114.0000000000018</v>
      </c>
      <c r="J41" s="112"/>
      <c r="K41" s="113"/>
      <c r="L41" s="113"/>
      <c r="M41" s="114"/>
      <c r="N41" s="117"/>
      <c r="O41" s="116">
        <f>O40-J16</f>
        <v>-4866.8</v>
      </c>
      <c r="P41" s="112"/>
      <c r="Q41" s="113"/>
      <c r="R41" s="113"/>
      <c r="S41" s="114"/>
      <c r="T41" s="117"/>
      <c r="U41" s="116">
        <f>U40-P16</f>
        <v>-1251.5999999999963</v>
      </c>
      <c r="V41" s="112"/>
      <c r="W41" s="113"/>
      <c r="X41" s="113"/>
      <c r="Y41" s="114"/>
      <c r="Z41" s="117"/>
      <c r="AA41" s="116">
        <f>AA40-V16</f>
        <v>-5000</v>
      </c>
      <c r="AB41" s="147">
        <f>(AA41/O41)</f>
        <v>1.0273691131749814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>
        <v>603.9</v>
      </c>
      <c r="E44" s="104">
        <v>603.9</v>
      </c>
      <c r="F44" s="105">
        <v>0</v>
      </c>
      <c r="G44" s="49"/>
      <c r="H44" s="49"/>
      <c r="I44" s="50"/>
      <c r="J44" s="94">
        <v>603.9</v>
      </c>
      <c r="K44" s="104">
        <v>609.9</v>
      </c>
      <c r="L44" s="105">
        <v>0</v>
      </c>
      <c r="M44" s="93"/>
      <c r="N44" s="93"/>
      <c r="O44" s="93"/>
      <c r="P44" s="94">
        <v>301.89999999999998</v>
      </c>
      <c r="Q44" s="104">
        <v>301.89999999999998</v>
      </c>
      <c r="R44" s="105">
        <v>0</v>
      </c>
      <c r="S44" s="4"/>
      <c r="T44" s="4"/>
      <c r="U44" s="4"/>
      <c r="V44" s="94">
        <v>603.9</v>
      </c>
      <c r="W44" s="104">
        <v>603.9</v>
      </c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201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117</v>
      </c>
      <c r="D50" s="85">
        <f>SUM(D51:D54)</f>
        <v>2876</v>
      </c>
      <c r="E50" s="85">
        <f>SUM(E51:E54)</f>
        <v>1922.6999999999998</v>
      </c>
      <c r="F50" s="85">
        <f>SUM(F51:F54)</f>
        <v>2426.2999999999997</v>
      </c>
      <c r="G50" s="85">
        <f>SUM(G51:G54)</f>
        <v>2372.4</v>
      </c>
      <c r="H50" s="49"/>
      <c r="I50" s="4"/>
      <c r="J50" s="52">
        <f>SUM(J51:J54)</f>
        <v>0</v>
      </c>
      <c r="K50" s="52">
        <f>SUM(K51:K54)</f>
        <v>1527.1</v>
      </c>
      <c r="L50" s="52">
        <f>SUM(L51:L54)</f>
        <v>1527.1</v>
      </c>
      <c r="M50" s="52">
        <f>SUM(M51:M54)</f>
        <v>0</v>
      </c>
      <c r="N50" s="4"/>
      <c r="O50" s="4"/>
      <c r="P50" s="85">
        <f>SUM(P51:P54)</f>
        <v>2372.3999999999996</v>
      </c>
      <c r="Q50" s="85">
        <f>SUM(Q51:Q54)</f>
        <v>1379.1999999999998</v>
      </c>
      <c r="R50" s="85">
        <f>SUM(R51:R54)</f>
        <v>1355.1999999999998</v>
      </c>
      <c r="S50" s="85">
        <f>SUM(S51:S54)</f>
        <v>2396.4</v>
      </c>
      <c r="T50" s="4"/>
      <c r="U50" s="4"/>
      <c r="V50" s="85">
        <f>SUM(V51:V54)</f>
        <v>700</v>
      </c>
      <c r="W50" s="85">
        <f>SUM(W51:W54)</f>
        <v>1204.8</v>
      </c>
      <c r="X50" s="85">
        <f>SUM(X51:X54)</f>
        <v>1303.9000000000001</v>
      </c>
      <c r="Y50" s="85">
        <f>SUM(Y51:Y54)</f>
        <v>600.9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85">
        <v>1054.5999999999999</v>
      </c>
      <c r="E51" s="85">
        <v>329.2</v>
      </c>
      <c r="F51" s="85">
        <v>909.8</v>
      </c>
      <c r="G51" s="52">
        <f>D51+E51-F51</f>
        <v>474</v>
      </c>
      <c r="H51" s="49"/>
      <c r="I51" s="4"/>
      <c r="J51" s="52">
        <v>0</v>
      </c>
      <c r="K51" s="85">
        <v>0</v>
      </c>
      <c r="L51" s="85">
        <v>0</v>
      </c>
      <c r="M51" s="52">
        <f>J51+K51-L51</f>
        <v>0</v>
      </c>
      <c r="N51" s="4"/>
      <c r="O51" s="4"/>
      <c r="P51" s="85">
        <v>474</v>
      </c>
      <c r="Q51" s="85">
        <v>516.79999999999995</v>
      </c>
      <c r="R51" s="85">
        <v>522.4</v>
      </c>
      <c r="S51" s="52">
        <f>P51+Q51-R51</f>
        <v>468.4</v>
      </c>
      <c r="T51" s="4"/>
      <c r="U51" s="4"/>
      <c r="V51" s="85">
        <v>0</v>
      </c>
      <c r="W51" s="85">
        <v>0</v>
      </c>
      <c r="X51" s="85">
        <v>0</v>
      </c>
      <c r="Y51" s="52">
        <f>V51+W51-X51</f>
        <v>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720.1</v>
      </c>
      <c r="E52" s="85">
        <v>886.9</v>
      </c>
      <c r="F52" s="85">
        <v>603.9</v>
      </c>
      <c r="G52" s="52">
        <f>D52+E52-F52</f>
        <v>1003.1</v>
      </c>
      <c r="H52" s="49"/>
      <c r="I52" s="4"/>
      <c r="J52" s="52">
        <v>0</v>
      </c>
      <c r="K52" s="85">
        <v>854.8</v>
      </c>
      <c r="L52" s="85">
        <v>854.8</v>
      </c>
      <c r="M52" s="52">
        <f>J52+K52-L52</f>
        <v>0</v>
      </c>
      <c r="N52" s="4"/>
      <c r="O52" s="4"/>
      <c r="P52" s="85">
        <v>1003.1</v>
      </c>
      <c r="Q52" s="85">
        <v>427.4</v>
      </c>
      <c r="R52" s="85">
        <v>301.89999999999998</v>
      </c>
      <c r="S52" s="52">
        <f>P52+Q52-R52</f>
        <v>1128.5999999999999</v>
      </c>
      <c r="T52" s="4"/>
      <c r="U52" s="4"/>
      <c r="V52" s="85">
        <v>600</v>
      </c>
      <c r="W52" s="85">
        <v>854.8</v>
      </c>
      <c r="X52" s="85">
        <v>853.9</v>
      </c>
      <c r="Y52" s="52">
        <f>V52+W52-X52</f>
        <v>600.9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293.10000000000002</v>
      </c>
      <c r="E53" s="85">
        <v>0</v>
      </c>
      <c r="F53" s="85">
        <v>5</v>
      </c>
      <c r="G53" s="52">
        <f>D53+E53-F53</f>
        <v>288.10000000000002</v>
      </c>
      <c r="H53" s="49"/>
      <c r="I53" s="4"/>
      <c r="J53" s="52">
        <v>0</v>
      </c>
      <c r="K53" s="85">
        <v>0</v>
      </c>
      <c r="L53" s="85">
        <v>0</v>
      </c>
      <c r="M53" s="52">
        <f>J53+K53-L53</f>
        <v>0</v>
      </c>
      <c r="N53" s="4"/>
      <c r="O53" s="4"/>
      <c r="P53" s="85">
        <v>288.10000000000002</v>
      </c>
      <c r="Q53" s="85">
        <v>49.3</v>
      </c>
      <c r="R53" s="85">
        <v>0</v>
      </c>
      <c r="S53" s="52">
        <f>P53+Q53-R53</f>
        <v>337.40000000000003</v>
      </c>
      <c r="T53" s="4"/>
      <c r="U53" s="4"/>
      <c r="V53" s="85">
        <v>0</v>
      </c>
      <c r="W53" s="85">
        <v>0</v>
      </c>
      <c r="X53" s="85">
        <v>0</v>
      </c>
      <c r="Y53" s="52">
        <f>V53+W53-X53</f>
        <v>0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808.2</v>
      </c>
      <c r="E54" s="85">
        <v>706.6</v>
      </c>
      <c r="F54" s="85">
        <v>907.6</v>
      </c>
      <c r="G54" s="52">
        <f>D54+E54-F54</f>
        <v>607.20000000000016</v>
      </c>
      <c r="H54" s="49"/>
      <c r="I54" s="4"/>
      <c r="J54" s="52">
        <v>0</v>
      </c>
      <c r="K54" s="85">
        <v>672.3</v>
      </c>
      <c r="L54" s="85">
        <v>672.3</v>
      </c>
      <c r="M54" s="52">
        <f>J54+K54-L54</f>
        <v>0</v>
      </c>
      <c r="N54" s="4"/>
      <c r="O54" s="4"/>
      <c r="P54" s="85">
        <v>607.20000000000005</v>
      </c>
      <c r="Q54" s="85">
        <v>385.7</v>
      </c>
      <c r="R54" s="85">
        <v>530.9</v>
      </c>
      <c r="S54" s="52">
        <f>P54+Q54-R54</f>
        <v>462.00000000000011</v>
      </c>
      <c r="T54" s="4"/>
      <c r="U54" s="4"/>
      <c r="V54" s="85">
        <v>100</v>
      </c>
      <c r="W54" s="85">
        <v>350</v>
      </c>
      <c r="X54" s="85">
        <v>450</v>
      </c>
      <c r="Y54" s="52">
        <f>V54+W54-X54</f>
        <v>0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67.5</v>
      </c>
      <c r="E57" s="86">
        <v>72.599999999999994</v>
      </c>
      <c r="F57" s="49"/>
      <c r="G57" s="49"/>
      <c r="H57" s="49"/>
      <c r="I57" s="50"/>
      <c r="J57" s="86">
        <v>71.8</v>
      </c>
      <c r="K57" s="49"/>
      <c r="L57" s="49"/>
      <c r="M57" s="49"/>
      <c r="N57" s="49"/>
      <c r="O57" s="50"/>
      <c r="P57" s="86">
        <v>75.599999999999994</v>
      </c>
      <c r="Q57" s="50"/>
      <c r="R57" s="50"/>
      <c r="S57" s="50"/>
      <c r="T57" s="50"/>
      <c r="U57" s="50"/>
      <c r="V57" s="86">
        <v>76.5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 t="s">
        <v>200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83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83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83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83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83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83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83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83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83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83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83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83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183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24"/>
      <c r="C83" s="91"/>
      <c r="D83" s="91"/>
      <c r="E83" s="91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43"/>
      <c r="C84" s="140"/>
      <c r="D84" s="2"/>
      <c r="E84" s="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24"/>
      <c r="C86" s="125"/>
      <c r="D86" s="2"/>
      <c r="E86" s="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22"/>
      <c r="W86" s="122"/>
      <c r="X86" s="122"/>
      <c r="Y86" s="122"/>
      <c r="Z86" s="122"/>
      <c r="AA86" s="122"/>
      <c r="AB86" s="123"/>
      <c r="AC86" s="4"/>
      <c r="AD86" s="4"/>
    </row>
    <row r="87" spans="1:30" x14ac:dyDescent="0.25">
      <c r="A87" s="5"/>
      <c r="B87" s="134"/>
      <c r="C87" s="135"/>
      <c r="D87" s="136"/>
      <c r="E87" s="136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56"/>
      <c r="W87" s="156"/>
      <c r="X87" s="156"/>
      <c r="Y87" s="156"/>
      <c r="Z87" s="156"/>
      <c r="AA87" s="156"/>
      <c r="AB87" s="157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7"/>
      <c r="B89" s="138"/>
      <c r="C89" s="137"/>
      <c r="D89" s="138"/>
      <c r="E89" s="138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3" t="s">
        <v>80</v>
      </c>
      <c r="C91" s="120">
        <v>45208</v>
      </c>
      <c r="D91" s="53" t="s">
        <v>76</v>
      </c>
      <c r="E91" s="218" t="s">
        <v>199</v>
      </c>
      <c r="F91" s="218"/>
      <c r="G91" s="218"/>
      <c r="H91" s="53"/>
      <c r="I91" s="53" t="s">
        <v>77</v>
      </c>
      <c r="J91" s="222" t="s">
        <v>198</v>
      </c>
      <c r="K91" s="222"/>
      <c r="L91" s="222"/>
      <c r="M91" s="222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 t="s">
        <v>79</v>
      </c>
      <c r="E93" s="55"/>
      <c r="F93" s="55"/>
      <c r="G93" s="55"/>
      <c r="H93" s="53"/>
      <c r="I93" s="53" t="s">
        <v>79</v>
      </c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5"/>
      <c r="F94" s="55"/>
      <c r="G94" s="55"/>
      <c r="H94" s="53"/>
      <c r="I94" s="53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V10:AA10"/>
    <mergeCell ref="V25:AA25"/>
    <mergeCell ref="Y13:Y14"/>
    <mergeCell ref="Z13:Z14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S13:S14"/>
    <mergeCell ref="T13:T14"/>
    <mergeCell ref="U13:U14"/>
    <mergeCell ref="P25:U25"/>
    <mergeCell ref="P26:R26"/>
    <mergeCell ref="S26:S27"/>
    <mergeCell ref="T26:T27"/>
    <mergeCell ref="U26:U27"/>
    <mergeCell ref="D12:I12"/>
    <mergeCell ref="D10:I10"/>
    <mergeCell ref="D11:G11"/>
    <mergeCell ref="C10:C13"/>
    <mergeCell ref="D13:F13"/>
    <mergeCell ref="H26:H27"/>
    <mergeCell ref="I26:I27"/>
    <mergeCell ref="H13:H14"/>
    <mergeCell ref="E91:G91"/>
    <mergeCell ref="J91:M91"/>
    <mergeCell ref="B63:U63"/>
    <mergeCell ref="B82:U82"/>
    <mergeCell ref="D4:U4"/>
    <mergeCell ref="D8:U8"/>
    <mergeCell ref="C43:C44"/>
    <mergeCell ref="C46:C47"/>
    <mergeCell ref="C26:C27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I13:I14"/>
    <mergeCell ref="D25:I25"/>
    <mergeCell ref="D26:F26"/>
    <mergeCell ref="G26:G27"/>
    <mergeCell ref="B10:B13"/>
    <mergeCell ref="P10:U10"/>
    <mergeCell ref="P11:S11"/>
    <mergeCell ref="P12:U12"/>
    <mergeCell ref="P13:R13"/>
    <mergeCell ref="G13:G14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9" priority="3" operator="equal">
      <formula>0</formula>
    </cfRule>
    <cfRule type="containsErrors" dxfId="38" priority="4">
      <formula>ISERROR(AB15)</formula>
    </cfRule>
  </conditionalFormatting>
  <conditionalFormatting sqref="AB28:AB41">
    <cfRule type="cellIs" dxfId="37" priority="1" operator="equal">
      <formula>0</formula>
    </cfRule>
    <cfRule type="containsErrors" dxfId="36" priority="2">
      <formula>ISERROR(AB28)</formula>
    </cfRule>
  </conditionalFormatting>
  <pageMargins left="0" right="0" top="0.78740157480314965" bottom="0.78740157480314965" header="0.31496062992125984" footer="0.31496062992125984"/>
  <pageSetup paperSize="8" scale="4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28"/>
  <sheetViews>
    <sheetView showGridLines="0" tabSelected="1" zoomScale="80" zoomScaleNormal="80" zoomScaleSheetLayoutView="80" workbookViewId="0">
      <selection activeCell="C90" sqref="C9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427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23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4"/>
      <c r="B4" s="4" t="s">
        <v>43</v>
      </c>
      <c r="C4" s="4"/>
      <c r="D4" s="239" t="s">
        <v>269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3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4"/>
      <c r="B6" s="4" t="s">
        <v>44</v>
      </c>
      <c r="C6" s="4"/>
      <c r="D6" s="240">
        <v>61345636</v>
      </c>
      <c r="E6" s="4"/>
      <c r="F6" s="4"/>
      <c r="G6" s="4"/>
      <c r="H6" s="4"/>
      <c r="I6" s="4"/>
      <c r="J6" s="4"/>
      <c r="K6" s="4"/>
      <c r="L6" s="4"/>
      <c r="M6" s="23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23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4"/>
      <c r="B8" s="4" t="s">
        <v>45</v>
      </c>
      <c r="C8" s="4"/>
      <c r="D8" s="242" t="s">
        <v>270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4"/>
      <c r="B10" s="243" t="s">
        <v>37</v>
      </c>
      <c r="C10" s="244" t="s">
        <v>38</v>
      </c>
      <c r="D10" s="245" t="s">
        <v>100</v>
      </c>
      <c r="E10" s="246"/>
      <c r="F10" s="246"/>
      <c r="G10" s="246"/>
      <c r="H10" s="246"/>
      <c r="I10" s="247"/>
      <c r="J10" s="245" t="s">
        <v>101</v>
      </c>
      <c r="K10" s="246"/>
      <c r="L10" s="246"/>
      <c r="M10" s="246"/>
      <c r="N10" s="246"/>
      <c r="O10" s="247"/>
      <c r="P10" s="245" t="s">
        <v>102</v>
      </c>
      <c r="Q10" s="246"/>
      <c r="R10" s="246"/>
      <c r="S10" s="246"/>
      <c r="T10" s="246"/>
      <c r="U10" s="247"/>
      <c r="V10" s="245" t="s">
        <v>103</v>
      </c>
      <c r="W10" s="246"/>
      <c r="X10" s="246"/>
      <c r="Y10" s="246"/>
      <c r="Z10" s="246"/>
      <c r="AA10" s="247"/>
      <c r="AB10" s="248" t="s">
        <v>99</v>
      </c>
      <c r="AC10" s="4"/>
      <c r="AD10" s="4"/>
    </row>
    <row r="11" spans="1:30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254" t="s">
        <v>40</v>
      </c>
      <c r="I11" s="254" t="s">
        <v>61</v>
      </c>
      <c r="J11" s="251" t="s">
        <v>39</v>
      </c>
      <c r="K11" s="252"/>
      <c r="L11" s="252"/>
      <c r="M11" s="253"/>
      <c r="N11" s="254" t="s">
        <v>40</v>
      </c>
      <c r="O11" s="254" t="s">
        <v>61</v>
      </c>
      <c r="P11" s="251" t="s">
        <v>39</v>
      </c>
      <c r="Q11" s="252"/>
      <c r="R11" s="252"/>
      <c r="S11" s="253"/>
      <c r="T11" s="254" t="s">
        <v>40</v>
      </c>
      <c r="U11" s="254" t="s">
        <v>61</v>
      </c>
      <c r="V11" s="251" t="s">
        <v>39</v>
      </c>
      <c r="W11" s="252"/>
      <c r="X11" s="252"/>
      <c r="Y11" s="253"/>
      <c r="Z11" s="254" t="s">
        <v>40</v>
      </c>
      <c r="AA11" s="254" t="s">
        <v>61</v>
      </c>
      <c r="AB11" s="255"/>
      <c r="AC11" s="4"/>
      <c r="AD11" s="4"/>
    </row>
    <row r="12" spans="1:30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9"/>
      <c r="J12" s="257" t="s">
        <v>62</v>
      </c>
      <c r="K12" s="258"/>
      <c r="L12" s="258"/>
      <c r="M12" s="258"/>
      <c r="N12" s="258"/>
      <c r="O12" s="259"/>
      <c r="P12" s="257" t="s">
        <v>62</v>
      </c>
      <c r="Q12" s="258"/>
      <c r="R12" s="258"/>
      <c r="S12" s="258"/>
      <c r="T12" s="258"/>
      <c r="U12" s="259"/>
      <c r="V12" s="257" t="s">
        <v>62</v>
      </c>
      <c r="W12" s="258"/>
      <c r="X12" s="258"/>
      <c r="Y12" s="258"/>
      <c r="Z12" s="258"/>
      <c r="AA12" s="259"/>
      <c r="AB12" s="255"/>
      <c r="AC12" s="4"/>
      <c r="AD12" s="4"/>
    </row>
    <row r="13" spans="1:30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264" t="s">
        <v>63</v>
      </c>
      <c r="H13" s="265" t="s">
        <v>66</v>
      </c>
      <c r="I13" s="266" t="s">
        <v>62</v>
      </c>
      <c r="J13" s="262" t="s">
        <v>57</v>
      </c>
      <c r="K13" s="263"/>
      <c r="L13" s="263"/>
      <c r="M13" s="264" t="s">
        <v>63</v>
      </c>
      <c r="N13" s="265" t="s">
        <v>66</v>
      </c>
      <c r="O13" s="266" t="s">
        <v>62</v>
      </c>
      <c r="P13" s="262" t="s">
        <v>57</v>
      </c>
      <c r="Q13" s="263"/>
      <c r="R13" s="263"/>
      <c r="S13" s="264" t="s">
        <v>63</v>
      </c>
      <c r="T13" s="265" t="s">
        <v>66</v>
      </c>
      <c r="U13" s="266" t="s">
        <v>62</v>
      </c>
      <c r="V13" s="262" t="s">
        <v>57</v>
      </c>
      <c r="W13" s="263"/>
      <c r="X13" s="263"/>
      <c r="Y13" s="264" t="s">
        <v>63</v>
      </c>
      <c r="Z13" s="265" t="s">
        <v>66</v>
      </c>
      <c r="AA13" s="266" t="s">
        <v>62</v>
      </c>
      <c r="AB13" s="255"/>
      <c r="AC13" s="4"/>
      <c r="AD13" s="4"/>
    </row>
    <row r="14" spans="1:30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271"/>
      <c r="H14" s="272"/>
      <c r="I14" s="273"/>
      <c r="J14" s="269" t="s">
        <v>58</v>
      </c>
      <c r="K14" s="270" t="s">
        <v>90</v>
      </c>
      <c r="L14" s="270" t="s">
        <v>59</v>
      </c>
      <c r="M14" s="271"/>
      <c r="N14" s="272"/>
      <c r="O14" s="273"/>
      <c r="P14" s="269" t="s">
        <v>58</v>
      </c>
      <c r="Q14" s="270" t="s">
        <v>90</v>
      </c>
      <c r="R14" s="270" t="s">
        <v>59</v>
      </c>
      <c r="S14" s="271"/>
      <c r="T14" s="272"/>
      <c r="U14" s="273"/>
      <c r="V14" s="269" t="s">
        <v>58</v>
      </c>
      <c r="W14" s="270" t="s">
        <v>90</v>
      </c>
      <c r="X14" s="270" t="s">
        <v>59</v>
      </c>
      <c r="Y14" s="271"/>
      <c r="Z14" s="272"/>
      <c r="AA14" s="273"/>
      <c r="AB14" s="274"/>
      <c r="AC14" s="4"/>
      <c r="AD14" s="4"/>
    </row>
    <row r="15" spans="1:30" x14ac:dyDescent="0.25">
      <c r="A15" s="4"/>
      <c r="B15" s="275" t="s">
        <v>0</v>
      </c>
      <c r="C15" s="276" t="s">
        <v>52</v>
      </c>
      <c r="D15" s="277"/>
      <c r="E15" s="278"/>
      <c r="F15" s="279">
        <v>2569.5</v>
      </c>
      <c r="G15" s="280">
        <v>2569.5230000000001</v>
      </c>
      <c r="H15" s="281">
        <v>122.28</v>
      </c>
      <c r="I15" s="282">
        <f>G15+H15</f>
        <v>2691.8030000000003</v>
      </c>
      <c r="J15" s="553"/>
      <c r="K15" s="554"/>
      <c r="L15" s="555">
        <v>2650</v>
      </c>
      <c r="M15" s="556">
        <v>2650</v>
      </c>
      <c r="N15" s="557">
        <v>100</v>
      </c>
      <c r="O15" s="558">
        <v>2750</v>
      </c>
      <c r="P15" s="277"/>
      <c r="Q15" s="278"/>
      <c r="R15" s="279">
        <v>1465.85</v>
      </c>
      <c r="S15" s="280">
        <f>SUM(P15:R15)</f>
        <v>1465.85</v>
      </c>
      <c r="T15" s="281">
        <v>76.849999999999994</v>
      </c>
      <c r="U15" s="282">
        <f>S15+T15</f>
        <v>1542.6999999999998</v>
      </c>
      <c r="V15" s="553"/>
      <c r="W15" s="554"/>
      <c r="X15" s="555">
        <v>2650</v>
      </c>
      <c r="Y15" s="556">
        <v>2650</v>
      </c>
      <c r="Z15" s="557">
        <v>100</v>
      </c>
      <c r="AA15" s="282">
        <f>Y15+Z15</f>
        <v>2750</v>
      </c>
      <c r="AB15" s="283">
        <f>(AA15/O15)</f>
        <v>1</v>
      </c>
      <c r="AC15" s="4"/>
      <c r="AD15" s="4"/>
    </row>
    <row r="16" spans="1:30" x14ac:dyDescent="0.25">
      <c r="A16" s="4"/>
      <c r="B16" s="284" t="s">
        <v>1</v>
      </c>
      <c r="C16" s="285" t="s">
        <v>60</v>
      </c>
      <c r="D16" s="286">
        <v>1570</v>
      </c>
      <c r="E16" s="287"/>
      <c r="F16" s="287"/>
      <c r="G16" s="288">
        <f t="shared" ref="G16:G23" si="0">SUM(D16:F16)</f>
        <v>1570</v>
      </c>
      <c r="H16" s="289"/>
      <c r="I16" s="282">
        <f t="shared" ref="I16:I23" si="1">G16+H16</f>
        <v>1570</v>
      </c>
      <c r="J16" s="559">
        <v>1872</v>
      </c>
      <c r="K16" s="560"/>
      <c r="L16" s="560"/>
      <c r="M16" s="561">
        <v>1872</v>
      </c>
      <c r="N16" s="562"/>
      <c r="O16" s="558">
        <v>1872</v>
      </c>
      <c r="P16" s="286">
        <v>936</v>
      </c>
      <c r="Q16" s="287"/>
      <c r="R16" s="287"/>
      <c r="S16" s="288">
        <f t="shared" ref="S16:S23" si="2">SUM(P16:R16)</f>
        <v>936</v>
      </c>
      <c r="T16" s="289"/>
      <c r="U16" s="282">
        <f t="shared" ref="U16:U20" si="3">S16+T16</f>
        <v>936</v>
      </c>
      <c r="V16" s="559">
        <v>1872</v>
      </c>
      <c r="W16" s="560"/>
      <c r="X16" s="560"/>
      <c r="Y16" s="561">
        <v>1872</v>
      </c>
      <c r="Z16" s="562"/>
      <c r="AA16" s="282">
        <f t="shared" ref="AA16:AA20" si="4">Y16+Z16</f>
        <v>1872</v>
      </c>
      <c r="AB16" s="283">
        <f t="shared" ref="AB16:AB24" si="5">(AA16/O16)</f>
        <v>1</v>
      </c>
      <c r="AC16" s="4"/>
      <c r="AD16" s="4"/>
    </row>
    <row r="17" spans="1:30" x14ac:dyDescent="0.25">
      <c r="A17" s="4"/>
      <c r="B17" s="284" t="s">
        <v>3</v>
      </c>
      <c r="C17" s="290" t="s">
        <v>78</v>
      </c>
      <c r="D17" s="58">
        <v>216</v>
      </c>
      <c r="E17" s="291"/>
      <c r="F17" s="291"/>
      <c r="G17" s="288">
        <f t="shared" si="0"/>
        <v>216</v>
      </c>
      <c r="H17" s="292"/>
      <c r="I17" s="282">
        <f t="shared" si="1"/>
        <v>216</v>
      </c>
      <c r="J17" s="442">
        <v>212</v>
      </c>
      <c r="K17" s="563"/>
      <c r="L17" s="563"/>
      <c r="M17" s="561">
        <v>212</v>
      </c>
      <c r="N17" s="564"/>
      <c r="O17" s="558">
        <v>212</v>
      </c>
      <c r="P17" s="58">
        <v>0</v>
      </c>
      <c r="Q17" s="291"/>
      <c r="R17" s="291"/>
      <c r="S17" s="288">
        <f t="shared" si="2"/>
        <v>0</v>
      </c>
      <c r="T17" s="292"/>
      <c r="U17" s="282">
        <f t="shared" si="3"/>
        <v>0</v>
      </c>
      <c r="V17" s="442">
        <v>212</v>
      </c>
      <c r="W17" s="563"/>
      <c r="X17" s="563"/>
      <c r="Y17" s="561">
        <v>212</v>
      </c>
      <c r="Z17" s="564"/>
      <c r="AA17" s="282">
        <f t="shared" si="4"/>
        <v>212</v>
      </c>
      <c r="AB17" s="283">
        <f t="shared" si="5"/>
        <v>1</v>
      </c>
      <c r="AC17" s="4"/>
      <c r="AD17" s="4"/>
    </row>
    <row r="18" spans="1:30" x14ac:dyDescent="0.25">
      <c r="A18" s="4"/>
      <c r="B18" s="284" t="s">
        <v>5</v>
      </c>
      <c r="C18" s="293" t="s">
        <v>53</v>
      </c>
      <c r="D18" s="294"/>
      <c r="E18" s="60">
        <v>23153.9</v>
      </c>
      <c r="F18" s="291"/>
      <c r="G18" s="288">
        <f t="shared" si="0"/>
        <v>23153.9</v>
      </c>
      <c r="H18" s="281"/>
      <c r="I18" s="282">
        <f t="shared" si="1"/>
        <v>23153.9</v>
      </c>
      <c r="J18" s="565"/>
      <c r="K18" s="448">
        <v>25000</v>
      </c>
      <c r="L18" s="563"/>
      <c r="M18" s="561">
        <v>25000</v>
      </c>
      <c r="N18" s="557"/>
      <c r="O18" s="558">
        <v>25000</v>
      </c>
      <c r="P18" s="294"/>
      <c r="Q18" s="60">
        <v>11823.3</v>
      </c>
      <c r="R18" s="291"/>
      <c r="S18" s="288">
        <f t="shared" si="2"/>
        <v>11823.3</v>
      </c>
      <c r="T18" s="281"/>
      <c r="U18" s="282">
        <f t="shared" si="3"/>
        <v>11823.3</v>
      </c>
      <c r="V18" s="565"/>
      <c r="W18" s="448">
        <v>25000</v>
      </c>
      <c r="X18" s="563"/>
      <c r="Y18" s="561">
        <v>25000</v>
      </c>
      <c r="Z18" s="557"/>
      <c r="AA18" s="282">
        <f t="shared" si="4"/>
        <v>25000</v>
      </c>
      <c r="AB18" s="283">
        <f t="shared" si="5"/>
        <v>1</v>
      </c>
      <c r="AC18" s="4"/>
      <c r="AD18" s="4"/>
    </row>
    <row r="19" spans="1:30" x14ac:dyDescent="0.25">
      <c r="A19" s="4"/>
      <c r="B19" s="284" t="s">
        <v>7</v>
      </c>
      <c r="C19" s="295" t="s">
        <v>46</v>
      </c>
      <c r="D19" s="296"/>
      <c r="E19" s="291"/>
      <c r="F19" s="60">
        <v>267.04199999999997</v>
      </c>
      <c r="G19" s="288">
        <f t="shared" si="0"/>
        <v>267.04199999999997</v>
      </c>
      <c r="H19" s="281"/>
      <c r="I19" s="282">
        <f t="shared" si="1"/>
        <v>267.04199999999997</v>
      </c>
      <c r="J19" s="566"/>
      <c r="K19" s="563"/>
      <c r="L19" s="448">
        <v>267</v>
      </c>
      <c r="M19" s="561">
        <v>267</v>
      </c>
      <c r="N19" s="557"/>
      <c r="O19" s="558">
        <v>267</v>
      </c>
      <c r="P19" s="296"/>
      <c r="Q19" s="291"/>
      <c r="R19" s="60">
        <v>133.5</v>
      </c>
      <c r="S19" s="288">
        <f t="shared" si="2"/>
        <v>133.5</v>
      </c>
      <c r="T19" s="281"/>
      <c r="U19" s="282">
        <f t="shared" si="3"/>
        <v>133.5</v>
      </c>
      <c r="V19" s="566"/>
      <c r="W19" s="563"/>
      <c r="X19" s="448">
        <v>267</v>
      </c>
      <c r="Y19" s="561">
        <v>267</v>
      </c>
      <c r="Z19" s="557"/>
      <c r="AA19" s="282">
        <f t="shared" si="4"/>
        <v>267</v>
      </c>
      <c r="AB19" s="283">
        <f t="shared" si="5"/>
        <v>1</v>
      </c>
      <c r="AC19" s="4"/>
      <c r="AD19" s="4"/>
    </row>
    <row r="20" spans="1:30" x14ac:dyDescent="0.25">
      <c r="A20" s="4"/>
      <c r="B20" s="284" t="s">
        <v>9</v>
      </c>
      <c r="C20" s="297" t="s">
        <v>47</v>
      </c>
      <c r="D20" s="294"/>
      <c r="E20" s="287"/>
      <c r="F20" s="298">
        <v>6.7569999999999997</v>
      </c>
      <c r="G20" s="288"/>
      <c r="H20" s="281"/>
      <c r="I20" s="282">
        <f t="shared" si="1"/>
        <v>0</v>
      </c>
      <c r="J20" s="565"/>
      <c r="K20" s="560"/>
      <c r="L20" s="567">
        <v>100</v>
      </c>
      <c r="M20" s="561">
        <v>100</v>
      </c>
      <c r="N20" s="557"/>
      <c r="O20" s="558">
        <v>100</v>
      </c>
      <c r="P20" s="294"/>
      <c r="Q20" s="287"/>
      <c r="R20" s="298"/>
      <c r="S20" s="288">
        <f t="shared" si="2"/>
        <v>0</v>
      </c>
      <c r="T20" s="281"/>
      <c r="U20" s="282">
        <f t="shared" si="3"/>
        <v>0</v>
      </c>
      <c r="V20" s="565"/>
      <c r="W20" s="560"/>
      <c r="X20" s="567">
        <v>100</v>
      </c>
      <c r="Y20" s="561">
        <v>100</v>
      </c>
      <c r="Z20" s="557"/>
      <c r="AA20" s="282">
        <f t="shared" si="4"/>
        <v>100</v>
      </c>
      <c r="AB20" s="283">
        <f t="shared" si="5"/>
        <v>1</v>
      </c>
      <c r="AC20" s="4"/>
      <c r="AD20" s="4"/>
    </row>
    <row r="21" spans="1:30" x14ac:dyDescent="0.25">
      <c r="A21" s="4"/>
      <c r="B21" s="284" t="s">
        <v>11</v>
      </c>
      <c r="C21" s="299" t="s">
        <v>2</v>
      </c>
      <c r="D21" s="294"/>
      <c r="E21" s="287"/>
      <c r="F21" s="298">
        <v>197</v>
      </c>
      <c r="G21" s="288">
        <f t="shared" si="0"/>
        <v>197</v>
      </c>
      <c r="H21" s="300"/>
      <c r="I21" s="282">
        <f>G21+H21</f>
        <v>197</v>
      </c>
      <c r="J21" s="565"/>
      <c r="K21" s="560"/>
      <c r="L21" s="567">
        <v>150</v>
      </c>
      <c r="M21" s="561">
        <v>150</v>
      </c>
      <c r="N21" s="568">
        <v>50</v>
      </c>
      <c r="O21" s="558">
        <v>200</v>
      </c>
      <c r="P21" s="294"/>
      <c r="Q21" s="287"/>
      <c r="R21" s="298"/>
      <c r="S21" s="288">
        <f t="shared" si="2"/>
        <v>0</v>
      </c>
      <c r="T21" s="300"/>
      <c r="U21" s="282">
        <f>S21+T21</f>
        <v>0</v>
      </c>
      <c r="V21" s="565"/>
      <c r="W21" s="560"/>
      <c r="X21" s="567">
        <v>150</v>
      </c>
      <c r="Y21" s="561">
        <v>150</v>
      </c>
      <c r="Z21" s="568">
        <v>50</v>
      </c>
      <c r="AA21" s="282">
        <f>Y21+Z21</f>
        <v>200</v>
      </c>
      <c r="AB21" s="283">
        <f t="shared" si="5"/>
        <v>1</v>
      </c>
      <c r="AC21" s="4"/>
      <c r="AD21" s="4"/>
    </row>
    <row r="22" spans="1:30" x14ac:dyDescent="0.25">
      <c r="A22" s="4"/>
      <c r="B22" s="284" t="s">
        <v>13</v>
      </c>
      <c r="C22" s="299" t="s">
        <v>4</v>
      </c>
      <c r="D22" s="294"/>
      <c r="E22" s="287"/>
      <c r="F22" s="298"/>
      <c r="G22" s="288">
        <f t="shared" si="0"/>
        <v>0</v>
      </c>
      <c r="H22" s="300"/>
      <c r="I22" s="282">
        <f t="shared" si="1"/>
        <v>0</v>
      </c>
      <c r="J22" s="565"/>
      <c r="K22" s="560"/>
      <c r="L22" s="567"/>
      <c r="M22" s="561">
        <v>0</v>
      </c>
      <c r="N22" s="568">
        <v>50</v>
      </c>
      <c r="O22" s="558">
        <v>50</v>
      </c>
      <c r="P22" s="294"/>
      <c r="Q22" s="287"/>
      <c r="R22" s="298"/>
      <c r="S22" s="288">
        <f t="shared" si="2"/>
        <v>0</v>
      </c>
      <c r="T22" s="300"/>
      <c r="U22" s="282">
        <f t="shared" ref="U22:U23" si="6">S22+T22</f>
        <v>0</v>
      </c>
      <c r="V22" s="565"/>
      <c r="W22" s="560"/>
      <c r="X22" s="567"/>
      <c r="Y22" s="561">
        <v>0</v>
      </c>
      <c r="Z22" s="568">
        <v>50</v>
      </c>
      <c r="AA22" s="282">
        <f t="shared" ref="AA22:AA23" si="7">Y22+Z22</f>
        <v>50</v>
      </c>
      <c r="AB22" s="283">
        <f t="shared" si="5"/>
        <v>1</v>
      </c>
      <c r="AC22" s="4"/>
      <c r="AD22" s="4"/>
    </row>
    <row r="23" spans="1:30" ht="15.75" thickBot="1" x14ac:dyDescent="0.3">
      <c r="A23" s="4"/>
      <c r="B23" s="301" t="s">
        <v>15</v>
      </c>
      <c r="C23" s="302" t="s">
        <v>6</v>
      </c>
      <c r="D23" s="303"/>
      <c r="E23" s="304"/>
      <c r="F23" s="305"/>
      <c r="G23" s="306">
        <f t="shared" si="0"/>
        <v>0</v>
      </c>
      <c r="H23" s="307"/>
      <c r="I23" s="308">
        <f t="shared" si="1"/>
        <v>0</v>
      </c>
      <c r="J23" s="569"/>
      <c r="K23" s="570"/>
      <c r="L23" s="571"/>
      <c r="M23" s="572">
        <v>0</v>
      </c>
      <c r="N23" s="573"/>
      <c r="O23" s="574">
        <v>0</v>
      </c>
      <c r="P23" s="303"/>
      <c r="Q23" s="304"/>
      <c r="R23" s="305">
        <v>73.040000000000006</v>
      </c>
      <c r="S23" s="306">
        <f t="shared" si="2"/>
        <v>73.040000000000006</v>
      </c>
      <c r="T23" s="307"/>
      <c r="U23" s="308">
        <f t="shared" si="6"/>
        <v>73.040000000000006</v>
      </c>
      <c r="V23" s="569"/>
      <c r="W23" s="570"/>
      <c r="X23" s="571"/>
      <c r="Y23" s="572">
        <v>0</v>
      </c>
      <c r="Z23" s="573"/>
      <c r="AA23" s="308">
        <f t="shared" si="7"/>
        <v>0</v>
      </c>
      <c r="AB23" s="309" t="e">
        <f t="shared" si="5"/>
        <v>#DIV/0!</v>
      </c>
      <c r="AC23" s="4"/>
      <c r="AD23" s="4"/>
    </row>
    <row r="24" spans="1:30" ht="15.75" thickBot="1" x14ac:dyDescent="0.3">
      <c r="A24" s="4"/>
      <c r="B24" s="310" t="s">
        <v>17</v>
      </c>
      <c r="C24" s="311" t="s">
        <v>8</v>
      </c>
      <c r="D24" s="312">
        <f>SUM(D15:D21)</f>
        <v>1786</v>
      </c>
      <c r="E24" s="313">
        <f>SUM(E15:E21)</f>
        <v>23153.9</v>
      </c>
      <c r="F24" s="313">
        <f>SUM(F15:F21)</f>
        <v>3040.299</v>
      </c>
      <c r="G24" s="314">
        <f>SUM(D24:F24)</f>
        <v>27980.199000000001</v>
      </c>
      <c r="H24" s="315">
        <f>SUM(H15:H21)</f>
        <v>122.28</v>
      </c>
      <c r="I24" s="315">
        <f>SUM(I15:I21)</f>
        <v>28095.745000000003</v>
      </c>
      <c r="J24" s="575">
        <f>SUM(J15:J21)</f>
        <v>2084</v>
      </c>
      <c r="K24" s="576">
        <f>SUM(K15:K21)</f>
        <v>25000</v>
      </c>
      <c r="L24" s="576">
        <f>SUM(L15:L21)</f>
        <v>3167</v>
      </c>
      <c r="M24" s="577">
        <f>SUM(J24:L24)</f>
        <v>30251</v>
      </c>
      <c r="N24" s="578">
        <f>SUM(N15:N21)</f>
        <v>150</v>
      </c>
      <c r="O24" s="578">
        <f>SUM(O15:O21)</f>
        <v>30401</v>
      </c>
      <c r="P24" s="312">
        <f>SUM(P15:P21)</f>
        <v>936</v>
      </c>
      <c r="Q24" s="313">
        <f>SUM(Q15:Q21)</f>
        <v>11823.3</v>
      </c>
      <c r="R24" s="313">
        <f>SUM(R15:R23)</f>
        <v>1672.3899999999999</v>
      </c>
      <c r="S24" s="314">
        <f>SUM(S15:S23)</f>
        <v>14431.69</v>
      </c>
      <c r="T24" s="315">
        <f>SUM(T15:T21)</f>
        <v>76.849999999999994</v>
      </c>
      <c r="U24" s="315">
        <f>SUM(U15:U23)</f>
        <v>14508.54</v>
      </c>
      <c r="V24" s="312">
        <f>SUM(V15:V21)</f>
        <v>2084</v>
      </c>
      <c r="W24" s="313">
        <f>SUM(W15:W21)</f>
        <v>25000</v>
      </c>
      <c r="X24" s="313">
        <f>SUM(X15:X21)</f>
        <v>3167</v>
      </c>
      <c r="Y24" s="314">
        <f>SUM(V24:X24)</f>
        <v>30251</v>
      </c>
      <c r="Z24" s="315">
        <f>SUM(Z15:Z21)</f>
        <v>150</v>
      </c>
      <c r="AA24" s="315">
        <f>SUM(AA15:AA21)</f>
        <v>30401</v>
      </c>
      <c r="AB24" s="316">
        <f t="shared" si="5"/>
        <v>1</v>
      </c>
      <c r="AC24" s="4"/>
      <c r="AD24" s="4"/>
    </row>
    <row r="25" spans="1:30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2"/>
      <c r="J25" s="579" t="s">
        <v>68</v>
      </c>
      <c r="K25" s="580"/>
      <c r="L25" s="580"/>
      <c r="M25" s="581"/>
      <c r="N25" s="581"/>
      <c r="O25" s="582"/>
      <c r="P25" s="319" t="s">
        <v>68</v>
      </c>
      <c r="Q25" s="320"/>
      <c r="R25" s="320"/>
      <c r="S25" s="321"/>
      <c r="T25" s="321"/>
      <c r="U25" s="322"/>
      <c r="V25" s="319" t="s">
        <v>68</v>
      </c>
      <c r="W25" s="320"/>
      <c r="X25" s="320"/>
      <c r="Y25" s="321"/>
      <c r="Z25" s="321"/>
      <c r="AA25" s="322"/>
      <c r="AB25" s="323" t="s">
        <v>99</v>
      </c>
      <c r="AC25" s="4"/>
      <c r="AD25" s="4"/>
    </row>
    <row r="26" spans="1:30" ht="15.75" thickBot="1" x14ac:dyDescent="0.3">
      <c r="A26" s="4"/>
      <c r="B26" s="324" t="s">
        <v>37</v>
      </c>
      <c r="C26" s="244" t="s">
        <v>38</v>
      </c>
      <c r="D26" s="325" t="s">
        <v>69</v>
      </c>
      <c r="E26" s="326"/>
      <c r="F26" s="326"/>
      <c r="G26" s="264" t="s">
        <v>64</v>
      </c>
      <c r="H26" s="327" t="s">
        <v>67</v>
      </c>
      <c r="I26" s="328" t="s">
        <v>68</v>
      </c>
      <c r="J26" s="583" t="s">
        <v>69</v>
      </c>
      <c r="K26" s="584"/>
      <c r="L26" s="584"/>
      <c r="M26" s="585" t="s">
        <v>64</v>
      </c>
      <c r="N26" s="586" t="s">
        <v>67</v>
      </c>
      <c r="O26" s="587" t="s">
        <v>68</v>
      </c>
      <c r="P26" s="325" t="s">
        <v>69</v>
      </c>
      <c r="Q26" s="326"/>
      <c r="R26" s="326"/>
      <c r="S26" s="264" t="s">
        <v>64</v>
      </c>
      <c r="T26" s="327" t="s">
        <v>67</v>
      </c>
      <c r="U26" s="328" t="s">
        <v>68</v>
      </c>
      <c r="V26" s="325" t="s">
        <v>69</v>
      </c>
      <c r="W26" s="326"/>
      <c r="X26" s="326"/>
      <c r="Y26" s="264" t="s">
        <v>64</v>
      </c>
      <c r="Z26" s="327" t="s">
        <v>67</v>
      </c>
      <c r="AA26" s="328" t="s">
        <v>68</v>
      </c>
      <c r="AB26" s="329"/>
      <c r="AC26" s="4"/>
      <c r="AD26" s="4"/>
    </row>
    <row r="27" spans="1:30" ht="15.75" thickBot="1" x14ac:dyDescent="0.3">
      <c r="A27" s="4"/>
      <c r="B27" s="330"/>
      <c r="C27" s="250"/>
      <c r="D27" s="331" t="s">
        <v>54</v>
      </c>
      <c r="E27" s="332" t="s">
        <v>55</v>
      </c>
      <c r="F27" s="333" t="s">
        <v>56</v>
      </c>
      <c r="G27" s="271"/>
      <c r="H27" s="334"/>
      <c r="I27" s="335"/>
      <c r="J27" s="588" t="s">
        <v>54</v>
      </c>
      <c r="K27" s="589" t="s">
        <v>55</v>
      </c>
      <c r="L27" s="590" t="s">
        <v>56</v>
      </c>
      <c r="M27" s="591"/>
      <c r="N27" s="592"/>
      <c r="O27" s="593"/>
      <c r="P27" s="331" t="s">
        <v>54</v>
      </c>
      <c r="Q27" s="332" t="s">
        <v>55</v>
      </c>
      <c r="R27" s="333" t="s">
        <v>56</v>
      </c>
      <c r="S27" s="271"/>
      <c r="T27" s="334"/>
      <c r="U27" s="335"/>
      <c r="V27" s="331" t="s">
        <v>54</v>
      </c>
      <c r="W27" s="332" t="s">
        <v>55</v>
      </c>
      <c r="X27" s="333" t="s">
        <v>56</v>
      </c>
      <c r="Y27" s="271"/>
      <c r="Z27" s="334"/>
      <c r="AA27" s="335"/>
      <c r="AB27" s="336"/>
      <c r="AC27" s="4"/>
      <c r="AD27" s="4"/>
    </row>
    <row r="28" spans="1:30" ht="15.75" thickBot="1" x14ac:dyDescent="0.3">
      <c r="A28" s="4"/>
      <c r="B28" s="275" t="s">
        <v>19</v>
      </c>
      <c r="C28" s="276" t="s">
        <v>10</v>
      </c>
      <c r="D28" s="337"/>
      <c r="E28" s="337"/>
      <c r="F28" s="337">
        <v>569.88</v>
      </c>
      <c r="G28" s="338">
        <f>SUM(D28:F28)</f>
        <v>569.88</v>
      </c>
      <c r="H28" s="338"/>
      <c r="I28" s="339">
        <f>G28+H28</f>
        <v>569.88</v>
      </c>
      <c r="J28" s="594"/>
      <c r="K28" s="595"/>
      <c r="L28" s="595">
        <v>600</v>
      </c>
      <c r="M28" s="596">
        <v>600</v>
      </c>
      <c r="N28" s="596"/>
      <c r="O28" s="597">
        <v>600</v>
      </c>
      <c r="P28" s="594"/>
      <c r="Q28" s="337"/>
      <c r="R28" s="337">
        <v>42.5</v>
      </c>
      <c r="S28" s="338">
        <f>SUM(P28:R28)</f>
        <v>42.5</v>
      </c>
      <c r="T28" s="338"/>
      <c r="U28" s="339">
        <f>S28+T28</f>
        <v>42.5</v>
      </c>
      <c r="V28" s="594"/>
      <c r="W28" s="595"/>
      <c r="X28" s="595">
        <v>600</v>
      </c>
      <c r="Y28" s="599">
        <f t="shared" ref="Y28:Y32" si="8">V28+W28+X28</f>
        <v>600</v>
      </c>
      <c r="Z28" s="596"/>
      <c r="AA28" s="597">
        <f>Y28+Z28</f>
        <v>600</v>
      </c>
      <c r="AB28" s="283">
        <f t="shared" ref="AB28:AB41" si="9">(AA28/O28)</f>
        <v>1</v>
      </c>
      <c r="AC28" s="4"/>
      <c r="AD28" s="4"/>
    </row>
    <row r="29" spans="1:30" ht="15.75" thickBot="1" x14ac:dyDescent="0.3">
      <c r="A29" s="4"/>
      <c r="B29" s="284" t="s">
        <v>20</v>
      </c>
      <c r="C29" s="299" t="s">
        <v>12</v>
      </c>
      <c r="D29" s="341"/>
      <c r="E29" s="341"/>
      <c r="F29" s="341">
        <v>324.2</v>
      </c>
      <c r="G29" s="342">
        <f t="shared" ref="G29:G38" si="10">SUM(D29:F29)</f>
        <v>324.2</v>
      </c>
      <c r="H29" s="342"/>
      <c r="I29" s="282">
        <f t="shared" ref="I29:I38" si="11">G29+H29</f>
        <v>324.2</v>
      </c>
      <c r="J29" s="598"/>
      <c r="K29" s="487"/>
      <c r="L29" s="487">
        <v>400</v>
      </c>
      <c r="M29" s="599">
        <v>400</v>
      </c>
      <c r="N29" s="599"/>
      <c r="O29" s="558">
        <v>400</v>
      </c>
      <c r="P29" s="598"/>
      <c r="Q29" s="341"/>
      <c r="R29" s="341">
        <v>112.14100000000001</v>
      </c>
      <c r="S29" s="342">
        <f t="shared" ref="S29:S38" si="12">SUM(P29:R29)</f>
        <v>112.14100000000001</v>
      </c>
      <c r="T29" s="342"/>
      <c r="U29" s="282">
        <f t="shared" ref="U29:U38" si="13">S29+T29</f>
        <v>112.14100000000001</v>
      </c>
      <c r="V29" s="598"/>
      <c r="W29" s="487"/>
      <c r="X29" s="487">
        <v>400</v>
      </c>
      <c r="Y29" s="599">
        <f t="shared" si="8"/>
        <v>400</v>
      </c>
      <c r="Z29" s="599"/>
      <c r="AA29" s="597">
        <f t="shared" ref="AA29:AA38" si="14">Y29+Z29</f>
        <v>400</v>
      </c>
      <c r="AB29" s="283">
        <f t="shared" si="9"/>
        <v>1</v>
      </c>
      <c r="AC29" s="4"/>
      <c r="AD29" s="4"/>
    </row>
    <row r="30" spans="1:30" ht="15.75" thickBot="1" x14ac:dyDescent="0.3">
      <c r="A30" s="4"/>
      <c r="B30" s="284" t="s">
        <v>22</v>
      </c>
      <c r="C30" s="299" t="s">
        <v>14</v>
      </c>
      <c r="D30" s="341">
        <f>955.5-2.5</f>
        <v>953</v>
      </c>
      <c r="E30" s="341"/>
      <c r="F30" s="341">
        <f>1274.84-D30</f>
        <v>321.83999999999992</v>
      </c>
      <c r="G30" s="342">
        <f t="shared" si="10"/>
        <v>1274.8399999999999</v>
      </c>
      <c r="H30" s="342"/>
      <c r="I30" s="282">
        <f t="shared" si="11"/>
        <v>1274.8399999999999</v>
      </c>
      <c r="J30" s="598">
        <v>1300</v>
      </c>
      <c r="K30" s="487"/>
      <c r="L30" s="487">
        <v>300</v>
      </c>
      <c r="M30" s="599">
        <v>1600</v>
      </c>
      <c r="N30" s="599"/>
      <c r="O30" s="558">
        <v>1600</v>
      </c>
      <c r="P30" s="598">
        <v>614.20000000000005</v>
      </c>
      <c r="Q30" s="341"/>
      <c r="R30" s="341">
        <v>298.8</v>
      </c>
      <c r="S30" s="342">
        <f t="shared" si="12"/>
        <v>913</v>
      </c>
      <c r="T30" s="342"/>
      <c r="U30" s="282">
        <f t="shared" si="13"/>
        <v>913</v>
      </c>
      <c r="V30" s="598">
        <v>1285</v>
      </c>
      <c r="W30" s="487"/>
      <c r="X30" s="487">
        <v>300</v>
      </c>
      <c r="Y30" s="599">
        <f t="shared" si="8"/>
        <v>1585</v>
      </c>
      <c r="Z30" s="599"/>
      <c r="AA30" s="597">
        <f t="shared" si="14"/>
        <v>1585</v>
      </c>
      <c r="AB30" s="283">
        <f t="shared" si="9"/>
        <v>0.99062499999999998</v>
      </c>
      <c r="AC30" s="4"/>
      <c r="AD30" s="4"/>
    </row>
    <row r="31" spans="1:30" ht="15.75" thickBot="1" x14ac:dyDescent="0.3">
      <c r="A31" s="4"/>
      <c r="B31" s="284" t="s">
        <v>24</v>
      </c>
      <c r="C31" s="299" t="s">
        <v>16</v>
      </c>
      <c r="D31" s="341">
        <v>79</v>
      </c>
      <c r="E31" s="341">
        <v>593.21</v>
      </c>
      <c r="F31" s="341">
        <f>1345.312-E31-D31</f>
        <v>673.10199999999986</v>
      </c>
      <c r="G31" s="342">
        <f t="shared" si="10"/>
        <v>1345.3119999999999</v>
      </c>
      <c r="H31" s="342"/>
      <c r="I31" s="282">
        <f t="shared" si="11"/>
        <v>1345.3119999999999</v>
      </c>
      <c r="J31" s="598">
        <v>75</v>
      </c>
      <c r="K31" s="487"/>
      <c r="L31" s="487">
        <v>1100</v>
      </c>
      <c r="M31" s="599">
        <v>1175</v>
      </c>
      <c r="N31" s="599"/>
      <c r="O31" s="558">
        <v>1175</v>
      </c>
      <c r="P31" s="598"/>
      <c r="Q31" s="341">
        <v>2.2919999999999998</v>
      </c>
      <c r="R31" s="341">
        <v>536.38900000000001</v>
      </c>
      <c r="S31" s="342">
        <f t="shared" si="12"/>
        <v>538.68100000000004</v>
      </c>
      <c r="T31" s="342"/>
      <c r="U31" s="282">
        <f t="shared" si="13"/>
        <v>538.68100000000004</v>
      </c>
      <c r="V31" s="598">
        <v>75</v>
      </c>
      <c r="W31" s="487">
        <v>1000</v>
      </c>
      <c r="X31" s="487">
        <v>1100</v>
      </c>
      <c r="Y31" s="599">
        <f t="shared" si="8"/>
        <v>2175</v>
      </c>
      <c r="Z31" s="599"/>
      <c r="AA31" s="597">
        <f t="shared" si="14"/>
        <v>2175</v>
      </c>
      <c r="AB31" s="283">
        <f t="shared" si="9"/>
        <v>1.8510638297872339</v>
      </c>
      <c r="AC31" s="4"/>
      <c r="AD31" s="4"/>
    </row>
    <row r="32" spans="1:30" ht="15.75" thickBot="1" x14ac:dyDescent="0.3">
      <c r="A32" s="4"/>
      <c r="B32" s="284" t="s">
        <v>26</v>
      </c>
      <c r="C32" s="299" t="s">
        <v>18</v>
      </c>
      <c r="D32" s="341">
        <f>D33+D34</f>
        <v>304.7</v>
      </c>
      <c r="E32" s="341">
        <f>E33+E34</f>
        <v>16689.46</v>
      </c>
      <c r="F32" s="341">
        <f>F33+F34</f>
        <v>1.752</v>
      </c>
      <c r="G32" s="342">
        <f t="shared" si="10"/>
        <v>16995.912</v>
      </c>
      <c r="H32" s="342">
        <v>25.2</v>
      </c>
      <c r="I32" s="282">
        <f t="shared" si="11"/>
        <v>17021.112000000001</v>
      </c>
      <c r="J32" s="598">
        <v>337</v>
      </c>
      <c r="K32" s="487">
        <v>25000</v>
      </c>
      <c r="L32" s="487">
        <v>100</v>
      </c>
      <c r="M32" s="599">
        <v>25437</v>
      </c>
      <c r="N32" s="599">
        <v>50</v>
      </c>
      <c r="O32" s="558">
        <v>25487</v>
      </c>
      <c r="P32" s="598">
        <v>126.4</v>
      </c>
      <c r="Q32" s="341">
        <f>Q33+Q34</f>
        <v>8231.6</v>
      </c>
      <c r="R32" s="341">
        <f>R33+R34+R34</f>
        <v>0</v>
      </c>
      <c r="S32" s="342">
        <f t="shared" si="12"/>
        <v>8358</v>
      </c>
      <c r="T32" s="342">
        <v>10.8</v>
      </c>
      <c r="U32" s="282">
        <f t="shared" si="13"/>
        <v>8368.7999999999993</v>
      </c>
      <c r="V32" s="598">
        <v>287</v>
      </c>
      <c r="W32" s="487">
        <v>17500</v>
      </c>
      <c r="X32" s="487">
        <v>100</v>
      </c>
      <c r="Y32" s="599">
        <f t="shared" si="8"/>
        <v>17887</v>
      </c>
      <c r="Z32" s="599">
        <v>50</v>
      </c>
      <c r="AA32" s="597">
        <f t="shared" si="14"/>
        <v>17937</v>
      </c>
      <c r="AB32" s="283">
        <f t="shared" si="9"/>
        <v>0.70377054969199981</v>
      </c>
      <c r="AC32" s="4"/>
      <c r="AD32" s="4"/>
    </row>
    <row r="33" spans="1:30" ht="15.75" thickBot="1" x14ac:dyDescent="0.3">
      <c r="A33" s="4"/>
      <c r="B33" s="284" t="s">
        <v>28</v>
      </c>
      <c r="C33" s="295" t="s">
        <v>42</v>
      </c>
      <c r="D33" s="345">
        <v>102.5</v>
      </c>
      <c r="E33" s="341">
        <v>16505</v>
      </c>
      <c r="F33" s="341">
        <v>1.752</v>
      </c>
      <c r="G33" s="342">
        <f t="shared" si="10"/>
        <v>16609.252</v>
      </c>
      <c r="H33" s="342">
        <v>25.2</v>
      </c>
      <c r="I33" s="282">
        <f t="shared" si="11"/>
        <v>16634.452000000001</v>
      </c>
      <c r="J33" s="598"/>
      <c r="K33" s="487"/>
      <c r="L33" s="487"/>
      <c r="M33" s="599">
        <v>0</v>
      </c>
      <c r="N33" s="599">
        <v>50</v>
      </c>
      <c r="O33" s="558">
        <v>50</v>
      </c>
      <c r="P33" s="598">
        <f>119.4+7</f>
        <v>126.4</v>
      </c>
      <c r="Q33" s="341">
        <v>8231.6</v>
      </c>
      <c r="R33" s="341"/>
      <c r="S33" s="342">
        <f t="shared" si="12"/>
        <v>8358</v>
      </c>
      <c r="T33" s="342">
        <v>10.75</v>
      </c>
      <c r="U33" s="282">
        <f t="shared" si="13"/>
        <v>8368.75</v>
      </c>
      <c r="V33" s="598">
        <v>287</v>
      </c>
      <c r="W33" s="487">
        <v>17500</v>
      </c>
      <c r="X33" s="487"/>
      <c r="Y33" s="599">
        <f>V33+W33+X33</f>
        <v>17787</v>
      </c>
      <c r="Z33" s="599">
        <v>50</v>
      </c>
      <c r="AA33" s="597">
        <f t="shared" si="14"/>
        <v>17837</v>
      </c>
      <c r="AB33" s="283">
        <f t="shared" si="9"/>
        <v>356.74</v>
      </c>
      <c r="AC33" s="4"/>
      <c r="AD33" s="4"/>
    </row>
    <row r="34" spans="1:30" ht="15.75" thickBot="1" x14ac:dyDescent="0.3">
      <c r="A34" s="4"/>
      <c r="B34" s="284" t="s">
        <v>30</v>
      </c>
      <c r="C34" s="349" t="s">
        <v>21</v>
      </c>
      <c r="D34" s="345">
        <v>202.2</v>
      </c>
      <c r="E34" s="341">
        <f>65+109.46+10</f>
        <v>184.45999999999998</v>
      </c>
      <c r="F34" s="341"/>
      <c r="G34" s="342">
        <f t="shared" si="10"/>
        <v>386.65999999999997</v>
      </c>
      <c r="H34" s="342"/>
      <c r="I34" s="282">
        <f t="shared" si="11"/>
        <v>386.65999999999997</v>
      </c>
      <c r="J34" s="598" t="s">
        <v>87</v>
      </c>
      <c r="K34" s="487"/>
      <c r="L34" s="487"/>
      <c r="M34" s="599">
        <v>0</v>
      </c>
      <c r="N34" s="599"/>
      <c r="O34" s="558">
        <v>0</v>
      </c>
      <c r="P34" s="598" t="s">
        <v>87</v>
      </c>
      <c r="Q34" s="341"/>
      <c r="R34" s="341"/>
      <c r="S34" s="342">
        <f t="shared" si="12"/>
        <v>0</v>
      </c>
      <c r="T34" s="342"/>
      <c r="U34" s="282">
        <f t="shared" si="13"/>
        <v>0</v>
      </c>
      <c r="V34" s="598" t="s">
        <v>87</v>
      </c>
      <c r="W34" s="487"/>
      <c r="X34" s="487"/>
      <c r="Y34" s="599"/>
      <c r="Z34" s="599"/>
      <c r="AA34" s="597">
        <f t="shared" si="14"/>
        <v>0</v>
      </c>
      <c r="AB34" s="283" t="e">
        <f t="shared" si="9"/>
        <v>#DIV/0!</v>
      </c>
      <c r="AC34" s="4"/>
      <c r="AD34" s="4"/>
    </row>
    <row r="35" spans="1:30" ht="15.75" thickBot="1" x14ac:dyDescent="0.3">
      <c r="A35" s="4"/>
      <c r="B35" s="284" t="s">
        <v>32</v>
      </c>
      <c r="C35" s="299" t="s">
        <v>23</v>
      </c>
      <c r="D35" s="345">
        <f>34.64+27.07</f>
        <v>61.71</v>
      </c>
      <c r="E35" s="341">
        <f>5540.52+9.85</f>
        <v>5550.3700000000008</v>
      </c>
      <c r="F35" s="341">
        <v>0.6</v>
      </c>
      <c r="G35" s="342">
        <f t="shared" si="10"/>
        <v>5612.6800000000012</v>
      </c>
      <c r="H35" s="342"/>
      <c r="I35" s="282">
        <f t="shared" si="11"/>
        <v>5612.6800000000012</v>
      </c>
      <c r="J35" s="598"/>
      <c r="K35" s="487"/>
      <c r="L35" s="487"/>
      <c r="M35" s="599">
        <v>0</v>
      </c>
      <c r="N35" s="599"/>
      <c r="O35" s="558">
        <v>0</v>
      </c>
      <c r="P35" s="598">
        <v>2.3660000000000001</v>
      </c>
      <c r="Q35" s="341">
        <v>2745.4</v>
      </c>
      <c r="R35" s="341"/>
      <c r="S35" s="342">
        <f t="shared" si="12"/>
        <v>2747.7660000000001</v>
      </c>
      <c r="T35" s="342"/>
      <c r="U35" s="282">
        <f t="shared" si="13"/>
        <v>2747.7660000000001</v>
      </c>
      <c r="V35" s="598">
        <v>50</v>
      </c>
      <c r="W35" s="487">
        <v>6000</v>
      </c>
      <c r="X35" s="487"/>
      <c r="Y35" s="599">
        <f t="shared" ref="Y35:Y38" si="15">V35+W35+X35</f>
        <v>6050</v>
      </c>
      <c r="Z35" s="599"/>
      <c r="AA35" s="597">
        <f t="shared" si="14"/>
        <v>6050</v>
      </c>
      <c r="AB35" s="283" t="e">
        <f t="shared" si="9"/>
        <v>#DIV/0!</v>
      </c>
      <c r="AC35" s="4"/>
      <c r="AD35" s="4"/>
    </row>
    <row r="36" spans="1:30" ht="15.75" thickBot="1" x14ac:dyDescent="0.3">
      <c r="A36" s="4"/>
      <c r="B36" s="284" t="s">
        <v>33</v>
      </c>
      <c r="C36" s="299" t="s">
        <v>25</v>
      </c>
      <c r="D36" s="341"/>
      <c r="E36" s="341"/>
      <c r="F36" s="341">
        <v>1.56</v>
      </c>
      <c r="G36" s="342">
        <f t="shared" si="10"/>
        <v>1.56</v>
      </c>
      <c r="H36" s="342"/>
      <c r="I36" s="282">
        <f t="shared" si="11"/>
        <v>1.56</v>
      </c>
      <c r="J36" s="598"/>
      <c r="K36" s="487"/>
      <c r="L36" s="487"/>
      <c r="M36" s="599">
        <v>0</v>
      </c>
      <c r="N36" s="599"/>
      <c r="O36" s="558">
        <v>0</v>
      </c>
      <c r="P36" s="598"/>
      <c r="Q36" s="341"/>
      <c r="R36" s="341"/>
      <c r="S36" s="342">
        <f t="shared" si="12"/>
        <v>0</v>
      </c>
      <c r="T36" s="342"/>
      <c r="U36" s="282">
        <f t="shared" si="13"/>
        <v>0</v>
      </c>
      <c r="V36" s="598"/>
      <c r="W36" s="487"/>
      <c r="X36" s="487"/>
      <c r="Y36" s="599">
        <f t="shared" si="15"/>
        <v>0</v>
      </c>
      <c r="Z36" s="599"/>
      <c r="AA36" s="597">
        <f t="shared" si="14"/>
        <v>0</v>
      </c>
      <c r="AB36" s="283" t="e">
        <f t="shared" si="9"/>
        <v>#DIV/0!</v>
      </c>
      <c r="AC36" s="4"/>
      <c r="AD36" s="4"/>
    </row>
    <row r="37" spans="1:30" ht="15.75" thickBot="1" x14ac:dyDescent="0.3">
      <c r="A37" s="4"/>
      <c r="B37" s="284" t="s">
        <v>34</v>
      </c>
      <c r="C37" s="299" t="s">
        <v>27</v>
      </c>
      <c r="D37" s="341">
        <v>385.1</v>
      </c>
      <c r="E37" s="341"/>
      <c r="F37" s="341">
        <v>267</v>
      </c>
      <c r="G37" s="342">
        <f t="shared" si="10"/>
        <v>652.1</v>
      </c>
      <c r="H37" s="342"/>
      <c r="I37" s="282">
        <f t="shared" si="11"/>
        <v>652.1</v>
      </c>
      <c r="J37" s="598">
        <v>372</v>
      </c>
      <c r="K37" s="487"/>
      <c r="L37" s="487">
        <v>267</v>
      </c>
      <c r="M37" s="599">
        <v>639</v>
      </c>
      <c r="N37" s="599"/>
      <c r="O37" s="558">
        <v>639</v>
      </c>
      <c r="P37" s="598">
        <f>326.55-R37</f>
        <v>193.03</v>
      </c>
      <c r="Q37" s="341"/>
      <c r="R37" s="341">
        <v>133.52000000000001</v>
      </c>
      <c r="S37" s="342">
        <f t="shared" si="12"/>
        <v>326.55</v>
      </c>
      <c r="T37" s="342"/>
      <c r="U37" s="282">
        <f t="shared" si="13"/>
        <v>326.55</v>
      </c>
      <c r="V37" s="598">
        <v>387</v>
      </c>
      <c r="W37" s="487"/>
      <c r="X37" s="487">
        <v>267</v>
      </c>
      <c r="Y37" s="599">
        <f t="shared" si="15"/>
        <v>654</v>
      </c>
      <c r="Z37" s="599"/>
      <c r="AA37" s="597">
        <f t="shared" si="14"/>
        <v>654</v>
      </c>
      <c r="AB37" s="283">
        <f t="shared" si="9"/>
        <v>1.0234741784037558</v>
      </c>
      <c r="AC37" s="4"/>
      <c r="AD37" s="4"/>
    </row>
    <row r="38" spans="1:30" ht="15.75" thickBot="1" x14ac:dyDescent="0.3">
      <c r="A38" s="4"/>
      <c r="B38" s="502" t="s">
        <v>35</v>
      </c>
      <c r="C38" s="350" t="s">
        <v>29</v>
      </c>
      <c r="D38" s="351">
        <v>2.5</v>
      </c>
      <c r="E38" s="351">
        <f>320.9</f>
        <v>320.89999999999998</v>
      </c>
      <c r="F38" s="351">
        <v>731.5</v>
      </c>
      <c r="G38" s="342">
        <f t="shared" si="10"/>
        <v>1054.9000000000001</v>
      </c>
      <c r="H38" s="352"/>
      <c r="I38" s="308">
        <f t="shared" si="11"/>
        <v>1054.9000000000001</v>
      </c>
      <c r="J38" s="600"/>
      <c r="K38" s="601"/>
      <c r="L38" s="601">
        <v>500</v>
      </c>
      <c r="M38" s="602">
        <v>500</v>
      </c>
      <c r="N38" s="602"/>
      <c r="O38" s="574">
        <v>500</v>
      </c>
      <c r="P38" s="600"/>
      <c r="Q38" s="351">
        <v>163.80000000000001</v>
      </c>
      <c r="R38" s="351">
        <v>170.3</v>
      </c>
      <c r="S38" s="352">
        <f t="shared" si="12"/>
        <v>334.1</v>
      </c>
      <c r="T38" s="352"/>
      <c r="U38" s="308">
        <f t="shared" si="13"/>
        <v>334.1</v>
      </c>
      <c r="V38" s="600"/>
      <c r="W38" s="601">
        <v>500</v>
      </c>
      <c r="X38" s="601">
        <v>500</v>
      </c>
      <c r="Y38" s="599">
        <f t="shared" si="15"/>
        <v>1000</v>
      </c>
      <c r="Z38" s="602"/>
      <c r="AA38" s="597">
        <f t="shared" si="14"/>
        <v>1000</v>
      </c>
      <c r="AB38" s="309">
        <f t="shared" si="9"/>
        <v>2</v>
      </c>
      <c r="AC38" s="4"/>
      <c r="AD38" s="4"/>
    </row>
    <row r="39" spans="1:30" ht="15.75" thickBot="1" x14ac:dyDescent="0.3">
      <c r="A39" s="4"/>
      <c r="B39" s="310" t="s">
        <v>48</v>
      </c>
      <c r="C39" s="354" t="s">
        <v>31</v>
      </c>
      <c r="D39" s="355">
        <f>SUM(D35:D38)+SUM(D28:D32)</f>
        <v>1786.01</v>
      </c>
      <c r="E39" s="355">
        <f>SUM(E35:E38)+SUM(E28:E32)</f>
        <v>23153.94</v>
      </c>
      <c r="F39" s="355">
        <f>SUM(F35:F38)+SUM(F28:F32)</f>
        <v>2891.4339999999997</v>
      </c>
      <c r="G39" s="356">
        <f>SUM(D39:F39)</f>
        <v>27831.383999999998</v>
      </c>
      <c r="H39" s="357">
        <f>SUM(H28:H32)+SUM(H35:H38)</f>
        <v>25.2</v>
      </c>
      <c r="I39" s="358">
        <f>SUM(I35:I38)+SUM(I28:I32)</f>
        <v>27856.584000000003</v>
      </c>
      <c r="J39" s="603">
        <f>SUM(J35:J38)+SUM(J28:J32)</f>
        <v>2084</v>
      </c>
      <c r="K39" s="603">
        <f>SUM(K35:K38)+SUM(K28:K32)</f>
        <v>25000</v>
      </c>
      <c r="L39" s="603">
        <f>SUM(L35:L38)+SUM(L28:L32)</f>
        <v>3267</v>
      </c>
      <c r="M39" s="604">
        <f>SUM(J39:L39)</f>
        <v>30351</v>
      </c>
      <c r="N39" s="605">
        <f>SUM(N28:N32)+SUM(N35:N38)</f>
        <v>50</v>
      </c>
      <c r="O39" s="606">
        <f>SUM(O35:O38)+SUM(O28:O32)</f>
        <v>30401</v>
      </c>
      <c r="P39" s="355">
        <f>SUM(P35:P38)+SUM(P28:P32)</f>
        <v>935.99600000000009</v>
      </c>
      <c r="Q39" s="355">
        <f>SUM(Q35:Q38)+SUM(Q28:Q32)</f>
        <v>11143.092000000001</v>
      </c>
      <c r="R39" s="355">
        <f>SUM(R35:R38)+SUM(R28:R32)</f>
        <v>1293.6500000000001</v>
      </c>
      <c r="S39" s="356">
        <f>SUM(P39:R39)</f>
        <v>13372.737999999999</v>
      </c>
      <c r="T39" s="357">
        <f>SUM(T28:T32)+SUM(T35:T38)</f>
        <v>10.8</v>
      </c>
      <c r="U39" s="358">
        <f>SUM(U35:U38)+SUM(U28:U32)</f>
        <v>13383.538</v>
      </c>
      <c r="V39" s="355">
        <f>SUM(V35:V38)+SUM(V28:V32)</f>
        <v>2084</v>
      </c>
      <c r="W39" s="355">
        <f>SUM(W35:W38)+SUM(W28:W32)</f>
        <v>25000</v>
      </c>
      <c r="X39" s="355">
        <f>SUM(X35:X38)+SUM(X28:X32)</f>
        <v>3267</v>
      </c>
      <c r="Y39" s="356">
        <f>SUM(V39:X39)</f>
        <v>30351</v>
      </c>
      <c r="Z39" s="357">
        <f>SUM(Z28:Z32)+SUM(Z35:Z38)</f>
        <v>50</v>
      </c>
      <c r="AA39" s="358">
        <f>SUM(AA35:AA38)+SUM(AA28:AA32)</f>
        <v>30401</v>
      </c>
      <c r="AB39" s="359">
        <f t="shared" si="9"/>
        <v>1</v>
      </c>
      <c r="AC39" s="4"/>
      <c r="AD39" s="4"/>
    </row>
    <row r="40" spans="1:30" ht="19.5" thickBot="1" x14ac:dyDescent="0.35">
      <c r="A40" s="4"/>
      <c r="B40" s="360" t="s">
        <v>49</v>
      </c>
      <c r="C40" s="361" t="s">
        <v>51</v>
      </c>
      <c r="D40" s="362">
        <f t="shared" ref="D40:AA40" si="16">D24-D39</f>
        <v>-9.9999999999909051E-3</v>
      </c>
      <c r="E40" s="362">
        <f t="shared" si="16"/>
        <v>-3.9999999997235136E-2</v>
      </c>
      <c r="F40" s="362">
        <f t="shared" si="16"/>
        <v>148.86500000000024</v>
      </c>
      <c r="G40" s="363">
        <f t="shared" si="16"/>
        <v>148.81500000000233</v>
      </c>
      <c r="H40" s="363">
        <f t="shared" si="16"/>
        <v>97.08</v>
      </c>
      <c r="I40" s="364">
        <f t="shared" si="16"/>
        <v>239.16100000000006</v>
      </c>
      <c r="J40" s="362">
        <f t="shared" si="16"/>
        <v>0</v>
      </c>
      <c r="K40" s="362">
        <f t="shared" si="16"/>
        <v>0</v>
      </c>
      <c r="L40" s="362">
        <f t="shared" si="16"/>
        <v>-100</v>
      </c>
      <c r="M40" s="607">
        <f t="shared" si="16"/>
        <v>-100</v>
      </c>
      <c r="N40" s="607">
        <f t="shared" si="16"/>
        <v>100</v>
      </c>
      <c r="O40" s="608">
        <f t="shared" si="16"/>
        <v>0</v>
      </c>
      <c r="P40" s="362">
        <f t="shared" si="16"/>
        <v>3.9999999999054126E-3</v>
      </c>
      <c r="Q40" s="362">
        <f t="shared" si="16"/>
        <v>680.20799999999872</v>
      </c>
      <c r="R40" s="362">
        <f t="shared" si="16"/>
        <v>378.73999999999978</v>
      </c>
      <c r="S40" s="363">
        <f t="shared" si="16"/>
        <v>1058.9520000000011</v>
      </c>
      <c r="T40" s="363">
        <f t="shared" si="16"/>
        <v>66.05</v>
      </c>
      <c r="U40" s="364">
        <f t="shared" si="16"/>
        <v>1125.0020000000004</v>
      </c>
      <c r="V40" s="362">
        <f t="shared" si="16"/>
        <v>0</v>
      </c>
      <c r="W40" s="362">
        <f t="shared" si="16"/>
        <v>0</v>
      </c>
      <c r="X40" s="362">
        <f t="shared" si="16"/>
        <v>-100</v>
      </c>
      <c r="Y40" s="363">
        <f t="shared" si="16"/>
        <v>-100</v>
      </c>
      <c r="Z40" s="363">
        <f t="shared" si="16"/>
        <v>100</v>
      </c>
      <c r="AA40" s="364">
        <f t="shared" si="16"/>
        <v>0</v>
      </c>
      <c r="AB40" s="365" t="e">
        <f t="shared" si="9"/>
        <v>#DIV/0!</v>
      </c>
      <c r="AC40" s="4"/>
      <c r="AD40" s="4"/>
    </row>
    <row r="41" spans="1:30" ht="15.75" thickBot="1" x14ac:dyDescent="0.3">
      <c r="A41" s="4"/>
      <c r="B41" s="366" t="s">
        <v>50</v>
      </c>
      <c r="C41" s="367" t="s">
        <v>65</v>
      </c>
      <c r="D41" s="368"/>
      <c r="E41" s="369"/>
      <c r="F41" s="369"/>
      <c r="G41" s="370"/>
      <c r="H41" s="371"/>
      <c r="I41" s="372">
        <f>I40-D16</f>
        <v>-1330.8389999999999</v>
      </c>
      <c r="J41" s="368"/>
      <c r="K41" s="369"/>
      <c r="L41" s="369"/>
      <c r="M41" s="370"/>
      <c r="N41" s="373"/>
      <c r="O41" s="372">
        <f>O40-J16</f>
        <v>-1872</v>
      </c>
      <c r="P41" s="368"/>
      <c r="Q41" s="369"/>
      <c r="R41" s="369"/>
      <c r="S41" s="370"/>
      <c r="T41" s="373"/>
      <c r="U41" s="372">
        <f>U40-P16</f>
        <v>189.00200000000041</v>
      </c>
      <c r="V41" s="368"/>
      <c r="W41" s="369"/>
      <c r="X41" s="369"/>
      <c r="Y41" s="370"/>
      <c r="Z41" s="373"/>
      <c r="AA41" s="372">
        <f>AA40-V16</f>
        <v>-1872</v>
      </c>
      <c r="AB41" s="283">
        <f t="shared" si="9"/>
        <v>1</v>
      </c>
      <c r="AC41" s="4"/>
      <c r="AD41" s="4"/>
    </row>
    <row r="42" spans="1:30" ht="8.25" customHeight="1" thickBot="1" x14ac:dyDescent="0.3">
      <c r="A42" s="4"/>
      <c r="B42" s="374"/>
      <c r="C42" s="375"/>
      <c r="D42" s="376"/>
      <c r="E42" s="377"/>
      <c r="F42" s="377"/>
      <c r="G42" s="4"/>
      <c r="H42" s="377"/>
      <c r="I42" s="377"/>
      <c r="J42" s="376"/>
      <c r="K42" s="377"/>
      <c r="L42" s="377"/>
      <c r="M42" s="4"/>
      <c r="N42" s="377"/>
      <c r="O42" s="377"/>
      <c r="P42" s="377"/>
      <c r="Q42" s="377"/>
      <c r="R42" s="377"/>
      <c r="S42" s="377"/>
      <c r="T42" s="377"/>
      <c r="U42" s="377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thickBot="1" x14ac:dyDescent="0.3">
      <c r="A43" s="4"/>
      <c r="B43" s="374"/>
      <c r="C43" s="378" t="s">
        <v>82</v>
      </c>
      <c r="D43" s="106" t="s">
        <v>41</v>
      </c>
      <c r="E43" s="379" t="s">
        <v>83</v>
      </c>
      <c r="F43" s="380" t="s">
        <v>36</v>
      </c>
      <c r="G43" s="377"/>
      <c r="H43" s="377"/>
      <c r="I43" s="381"/>
      <c r="J43" s="106" t="s">
        <v>41</v>
      </c>
      <c r="K43" s="379" t="s">
        <v>83</v>
      </c>
      <c r="L43" s="380" t="s">
        <v>36</v>
      </c>
      <c r="M43" s="377"/>
      <c r="N43" s="377"/>
      <c r="O43" s="377"/>
      <c r="P43" s="106" t="s">
        <v>41</v>
      </c>
      <c r="Q43" s="379" t="s">
        <v>83</v>
      </c>
      <c r="R43" s="380" t="s">
        <v>36</v>
      </c>
      <c r="S43" s="4"/>
      <c r="T43" s="4"/>
      <c r="U43" s="4"/>
      <c r="V43" s="106" t="s">
        <v>41</v>
      </c>
      <c r="W43" s="379" t="s">
        <v>83</v>
      </c>
      <c r="X43" s="380" t="s">
        <v>36</v>
      </c>
      <c r="Y43" s="4"/>
      <c r="Z43" s="4"/>
      <c r="AA43" s="4"/>
      <c r="AB43" s="4"/>
      <c r="AC43" s="4"/>
      <c r="AD43" s="4"/>
    </row>
    <row r="44" spans="1:30" ht="15.75" thickBot="1" x14ac:dyDescent="0.3">
      <c r="A44" s="4"/>
      <c r="B44" s="374"/>
      <c r="C44" s="382"/>
      <c r="D44" s="383">
        <v>112.4</v>
      </c>
      <c r="E44" s="384">
        <v>112.4</v>
      </c>
      <c r="F44" s="385">
        <v>0</v>
      </c>
      <c r="G44" s="377"/>
      <c r="H44" s="377"/>
      <c r="I44" s="381"/>
      <c r="J44" s="383">
        <v>112.4</v>
      </c>
      <c r="K44" s="384">
        <v>112.4</v>
      </c>
      <c r="L44" s="385">
        <v>0</v>
      </c>
      <c r="M44" s="386"/>
      <c r="N44" s="386"/>
      <c r="O44" s="386"/>
      <c r="P44" s="383">
        <v>56.2</v>
      </c>
      <c r="Q44" s="384">
        <v>56.2</v>
      </c>
      <c r="R44" s="385">
        <v>0</v>
      </c>
      <c r="S44" s="4"/>
      <c r="T44" s="4"/>
      <c r="U44" s="4"/>
      <c r="V44" s="383">
        <v>112.4</v>
      </c>
      <c r="W44" s="384">
        <v>112.4</v>
      </c>
      <c r="X44" s="385">
        <v>0</v>
      </c>
      <c r="Y44" s="4"/>
      <c r="Z44" s="4"/>
      <c r="AA44" s="4"/>
      <c r="AB44" s="4"/>
      <c r="AC44" s="4"/>
      <c r="AD44" s="4"/>
    </row>
    <row r="45" spans="1:30" ht="8.25" customHeight="1" thickBot="1" x14ac:dyDescent="0.3">
      <c r="A45" s="4"/>
      <c r="B45" s="374"/>
      <c r="C45" s="375"/>
      <c r="D45" s="386"/>
      <c r="E45" s="377"/>
      <c r="F45" s="377"/>
      <c r="G45" s="377"/>
      <c r="H45" s="377"/>
      <c r="I45" s="381"/>
      <c r="J45" s="377"/>
      <c r="K45" s="377"/>
      <c r="L45" s="377"/>
      <c r="M45" s="377"/>
      <c r="N45" s="377"/>
      <c r="O45" s="381"/>
      <c r="P45" s="381"/>
      <c r="Q45" s="381"/>
      <c r="R45" s="381"/>
      <c r="S45" s="381"/>
      <c r="T45" s="381"/>
      <c r="U45" s="381"/>
      <c r="V45" s="4"/>
      <c r="W45" s="4"/>
      <c r="X45" s="4"/>
      <c r="Y45" s="4"/>
      <c r="Z45" s="4"/>
      <c r="AA45" s="4"/>
      <c r="AB45" s="4"/>
      <c r="AC45" s="4"/>
      <c r="AD45" s="4"/>
    </row>
    <row r="46" spans="1:30" ht="37.5" customHeight="1" thickBot="1" x14ac:dyDescent="0.3">
      <c r="A46" s="4"/>
      <c r="B46" s="374"/>
      <c r="C46" s="378" t="s">
        <v>85</v>
      </c>
      <c r="D46" s="95" t="s">
        <v>86</v>
      </c>
      <c r="E46" s="387" t="s">
        <v>84</v>
      </c>
      <c r="F46" s="377"/>
      <c r="G46" s="377"/>
      <c r="H46" s="377"/>
      <c r="I46" s="381"/>
      <c r="J46" s="95" t="s">
        <v>86</v>
      </c>
      <c r="K46" s="387" t="s">
        <v>84</v>
      </c>
      <c r="L46" s="388"/>
      <c r="M46" s="388"/>
      <c r="N46" s="4"/>
      <c r="O46" s="4"/>
      <c r="P46" s="95" t="s">
        <v>86</v>
      </c>
      <c r="Q46" s="387" t="s">
        <v>84</v>
      </c>
      <c r="R46" s="4"/>
      <c r="S46" s="4"/>
      <c r="T46" s="4"/>
      <c r="U46" s="4"/>
      <c r="V46" s="95" t="s">
        <v>86</v>
      </c>
      <c r="W46" s="387" t="s">
        <v>84</v>
      </c>
      <c r="X46" s="4"/>
      <c r="Y46" s="4"/>
      <c r="Z46" s="4"/>
      <c r="AA46" s="4"/>
      <c r="AB46" s="4"/>
      <c r="AC46" s="4"/>
      <c r="AD46" s="4"/>
    </row>
    <row r="47" spans="1:30" ht="15.75" thickBot="1" x14ac:dyDescent="0.3">
      <c r="A47" s="4"/>
      <c r="B47" s="389"/>
      <c r="C47" s="390"/>
      <c r="D47" s="383">
        <v>0</v>
      </c>
      <c r="E47" s="391">
        <v>0</v>
      </c>
      <c r="F47" s="377"/>
      <c r="G47" s="377"/>
      <c r="H47" s="377"/>
      <c r="I47" s="381"/>
      <c r="J47" s="383">
        <v>0</v>
      </c>
      <c r="K47" s="391">
        <v>0</v>
      </c>
      <c r="L47" s="392"/>
      <c r="M47" s="392"/>
      <c r="N47" s="4"/>
      <c r="O47" s="4"/>
      <c r="P47" s="383">
        <v>0</v>
      </c>
      <c r="Q47" s="391">
        <v>0</v>
      </c>
      <c r="R47" s="4"/>
      <c r="S47" s="4"/>
      <c r="T47" s="4"/>
      <c r="U47" s="4"/>
      <c r="V47" s="383">
        <v>0</v>
      </c>
      <c r="W47" s="391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4"/>
      <c r="B48" s="389"/>
      <c r="C48" s="375"/>
      <c r="D48" s="377"/>
      <c r="E48" s="377"/>
      <c r="F48" s="377"/>
      <c r="G48" s="377"/>
      <c r="H48" s="377"/>
      <c r="I48" s="381"/>
      <c r="J48" s="377"/>
      <c r="K48" s="377"/>
      <c r="L48" s="377"/>
      <c r="M48" s="377"/>
      <c r="N48" s="377"/>
      <c r="O48" s="381"/>
      <c r="P48" s="381"/>
      <c r="Q48" s="381"/>
      <c r="R48" s="381"/>
      <c r="S48" s="381"/>
      <c r="T48" s="381"/>
      <c r="U48" s="381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4"/>
      <c r="B49" s="389"/>
      <c r="C49" s="393" t="s">
        <v>81</v>
      </c>
      <c r="D49" s="394" t="s">
        <v>72</v>
      </c>
      <c r="E49" s="394" t="s">
        <v>73</v>
      </c>
      <c r="F49" s="394" t="s">
        <v>91</v>
      </c>
      <c r="G49" s="394" t="s">
        <v>93</v>
      </c>
      <c r="H49" s="377"/>
      <c r="I49" s="4"/>
      <c r="J49" s="394" t="s">
        <v>72</v>
      </c>
      <c r="K49" s="394" t="s">
        <v>73</v>
      </c>
      <c r="L49" s="394" t="s">
        <v>91</v>
      </c>
      <c r="M49" s="394" t="s">
        <v>94</v>
      </c>
      <c r="N49" s="4"/>
      <c r="O49" s="4"/>
      <c r="P49" s="394" t="s">
        <v>72</v>
      </c>
      <c r="Q49" s="394" t="s">
        <v>73</v>
      </c>
      <c r="R49" s="394" t="s">
        <v>91</v>
      </c>
      <c r="S49" s="394" t="s">
        <v>94</v>
      </c>
      <c r="T49" s="4"/>
      <c r="U49" s="4"/>
      <c r="V49" s="394" t="s">
        <v>95</v>
      </c>
      <c r="W49" s="394" t="s">
        <v>73</v>
      </c>
      <c r="X49" s="394" t="s">
        <v>91</v>
      </c>
      <c r="Y49" s="394" t="s">
        <v>94</v>
      </c>
      <c r="Z49" s="4"/>
      <c r="AA49" s="4"/>
      <c r="AB49" s="4"/>
      <c r="AC49" s="4"/>
      <c r="AD49" s="4"/>
    </row>
    <row r="50" spans="1:30" x14ac:dyDescent="0.25">
      <c r="A50" s="4"/>
      <c r="B50" s="389"/>
      <c r="C50" s="395" t="s">
        <v>117</v>
      </c>
      <c r="D50" s="396"/>
      <c r="E50" s="396"/>
      <c r="F50" s="396"/>
      <c r="G50" s="397">
        <f>SUM(G51:G54)</f>
        <v>2041.12</v>
      </c>
      <c r="H50" s="377"/>
      <c r="I50" s="4"/>
      <c r="J50" s="397"/>
      <c r="K50" s="396"/>
      <c r="L50" s="396"/>
      <c r="M50" s="397">
        <f>SUM(M51:M54)</f>
        <v>2401.1200000000003</v>
      </c>
      <c r="N50" s="4"/>
      <c r="O50" s="4"/>
      <c r="P50" s="396"/>
      <c r="Q50" s="396"/>
      <c r="R50" s="396"/>
      <c r="S50" s="396">
        <f>S51+S52+S53+S54</f>
        <v>2552</v>
      </c>
      <c r="T50" s="4"/>
      <c r="U50" s="4"/>
      <c r="V50" s="396"/>
      <c r="W50" s="396"/>
      <c r="X50" s="396"/>
      <c r="Y50" s="397">
        <f>SUM(Y51:Y54)</f>
        <v>2938</v>
      </c>
      <c r="Z50" s="4"/>
      <c r="AA50" s="4"/>
      <c r="AB50" s="4"/>
      <c r="AC50" s="4"/>
      <c r="AD50" s="4"/>
    </row>
    <row r="51" spans="1:30" x14ac:dyDescent="0.25">
      <c r="A51" s="4"/>
      <c r="B51" s="389"/>
      <c r="C51" s="395" t="s">
        <v>70</v>
      </c>
      <c r="D51" s="396">
        <v>763.2</v>
      </c>
      <c r="E51" s="396">
        <v>120</v>
      </c>
      <c r="F51" s="396">
        <v>5</v>
      </c>
      <c r="G51" s="397">
        <f t="shared" ref="G51:G54" si="17">D51+E51-F51</f>
        <v>878.2</v>
      </c>
      <c r="H51" s="377"/>
      <c r="I51" s="4"/>
      <c r="J51" s="397">
        <f t="shared" ref="J51:J54" si="18">G51+H51-I51</f>
        <v>878.2</v>
      </c>
      <c r="K51" s="396">
        <v>20</v>
      </c>
      <c r="L51" s="396">
        <v>20</v>
      </c>
      <c r="M51" s="397">
        <f>J51+K51-L51</f>
        <v>878.2</v>
      </c>
      <c r="N51" s="4"/>
      <c r="O51" s="4"/>
      <c r="P51" s="396">
        <v>878.2</v>
      </c>
      <c r="Q51" s="396">
        <v>225.9</v>
      </c>
      <c r="R51" s="396"/>
      <c r="S51" s="397">
        <v>1100</v>
      </c>
      <c r="T51" s="4"/>
      <c r="U51" s="4"/>
      <c r="V51" s="396">
        <v>1100</v>
      </c>
      <c r="W51" s="396"/>
      <c r="X51" s="396"/>
      <c r="Y51" s="397">
        <f t="shared" ref="Y51:Y54" si="19">V51+W51-X51</f>
        <v>1100</v>
      </c>
      <c r="Z51" s="4"/>
      <c r="AA51" s="4"/>
      <c r="AB51" s="4"/>
      <c r="AC51" s="4"/>
      <c r="AD51" s="4"/>
    </row>
    <row r="52" spans="1:30" x14ac:dyDescent="0.25">
      <c r="A52" s="4"/>
      <c r="B52" s="389"/>
      <c r="C52" s="395" t="s">
        <v>71</v>
      </c>
      <c r="D52" s="396">
        <v>456.2</v>
      </c>
      <c r="E52" s="396">
        <v>385</v>
      </c>
      <c r="F52" s="396">
        <v>112.4</v>
      </c>
      <c r="G52" s="397">
        <f t="shared" si="17"/>
        <v>728.80000000000007</v>
      </c>
      <c r="H52" s="377"/>
      <c r="I52" s="4"/>
      <c r="J52" s="397">
        <f t="shared" si="18"/>
        <v>728.80000000000007</v>
      </c>
      <c r="K52" s="396">
        <v>380</v>
      </c>
      <c r="L52" s="396"/>
      <c r="M52" s="397">
        <f t="shared" ref="M52:M54" si="20">J52+K52-L52</f>
        <v>1108.8000000000002</v>
      </c>
      <c r="N52" s="4"/>
      <c r="O52" s="4"/>
      <c r="P52" s="396">
        <v>728.80000000000007</v>
      </c>
      <c r="Q52" s="396">
        <v>193.02799999999999</v>
      </c>
      <c r="R52" s="396">
        <v>56.2</v>
      </c>
      <c r="S52" s="397">
        <v>1002</v>
      </c>
      <c r="T52" s="4"/>
      <c r="U52" s="4"/>
      <c r="V52" s="396">
        <v>1002</v>
      </c>
      <c r="W52" s="396">
        <v>386</v>
      </c>
      <c r="X52" s="396">
        <v>0</v>
      </c>
      <c r="Y52" s="397">
        <f t="shared" si="19"/>
        <v>1388</v>
      </c>
      <c r="Z52" s="4"/>
      <c r="AA52" s="4"/>
      <c r="AB52" s="4"/>
      <c r="AC52" s="4"/>
      <c r="AD52" s="4"/>
    </row>
    <row r="53" spans="1:30" x14ac:dyDescent="0.25">
      <c r="A53" s="4"/>
      <c r="B53" s="389"/>
      <c r="C53" s="395" t="s">
        <v>88</v>
      </c>
      <c r="D53" s="396">
        <v>239.5</v>
      </c>
      <c r="E53" s="396">
        <v>20</v>
      </c>
      <c r="F53" s="396">
        <v>1.8</v>
      </c>
      <c r="G53" s="397">
        <f t="shared" si="17"/>
        <v>257.7</v>
      </c>
      <c r="H53" s="377"/>
      <c r="I53" s="4"/>
      <c r="J53" s="397">
        <f t="shared" si="18"/>
        <v>257.7</v>
      </c>
      <c r="K53" s="396"/>
      <c r="L53" s="396">
        <v>20</v>
      </c>
      <c r="M53" s="397">
        <f t="shared" si="20"/>
        <v>237.7</v>
      </c>
      <c r="N53" s="4"/>
      <c r="O53" s="4"/>
      <c r="P53" s="396">
        <v>257.7</v>
      </c>
      <c r="Q53" s="396">
        <v>20</v>
      </c>
      <c r="R53" s="396"/>
      <c r="S53" s="397">
        <v>260</v>
      </c>
      <c r="T53" s="4"/>
      <c r="U53" s="4"/>
      <c r="V53" s="396">
        <v>260</v>
      </c>
      <c r="W53" s="396">
        <v>20</v>
      </c>
      <c r="X53" s="396">
        <v>20</v>
      </c>
      <c r="Y53" s="397">
        <f t="shared" si="19"/>
        <v>260</v>
      </c>
      <c r="Z53" s="4"/>
      <c r="AA53" s="4"/>
      <c r="AB53" s="4"/>
      <c r="AC53" s="4"/>
      <c r="AD53" s="4"/>
    </row>
    <row r="54" spans="1:30" x14ac:dyDescent="0.25">
      <c r="A54" s="4"/>
      <c r="B54" s="389"/>
      <c r="C54" s="398" t="s">
        <v>89</v>
      </c>
      <c r="D54" s="396">
        <v>150.82</v>
      </c>
      <c r="E54" s="396">
        <v>332.2</v>
      </c>
      <c r="F54" s="396">
        <v>306.60000000000002</v>
      </c>
      <c r="G54" s="397">
        <f t="shared" si="17"/>
        <v>176.41999999999996</v>
      </c>
      <c r="H54" s="377"/>
      <c r="I54" s="4"/>
      <c r="J54" s="397">
        <f t="shared" si="18"/>
        <v>176.41999999999996</v>
      </c>
      <c r="K54" s="396">
        <v>350</v>
      </c>
      <c r="L54" s="396">
        <v>350</v>
      </c>
      <c r="M54" s="397">
        <f t="shared" si="20"/>
        <v>176.41999999999996</v>
      </c>
      <c r="N54" s="4"/>
      <c r="O54" s="4"/>
      <c r="P54" s="396">
        <v>176.41999999999996</v>
      </c>
      <c r="Q54" s="396">
        <v>163.6</v>
      </c>
      <c r="R54" s="396">
        <v>156</v>
      </c>
      <c r="S54" s="397">
        <v>190</v>
      </c>
      <c r="T54" s="4"/>
      <c r="U54" s="4"/>
      <c r="V54" s="396">
        <v>190</v>
      </c>
      <c r="W54" s="396">
        <v>320</v>
      </c>
      <c r="X54" s="396">
        <v>320</v>
      </c>
      <c r="Y54" s="397">
        <f t="shared" si="19"/>
        <v>190</v>
      </c>
      <c r="Z54" s="4"/>
      <c r="AA54" s="4"/>
      <c r="AB54" s="4"/>
      <c r="AC54" s="4"/>
      <c r="AD54" s="4"/>
    </row>
    <row r="55" spans="1:30" ht="10.5" customHeight="1" x14ac:dyDescent="0.25">
      <c r="A55" s="4"/>
      <c r="B55" s="389"/>
      <c r="C55" s="375"/>
      <c r="D55" s="377"/>
      <c r="E55" s="377"/>
      <c r="F55" s="377"/>
      <c r="G55" s="377"/>
      <c r="H55" s="37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4"/>
      <c r="B56" s="389"/>
      <c r="C56" s="393" t="s">
        <v>74</v>
      </c>
      <c r="D56" s="394" t="s">
        <v>75</v>
      </c>
      <c r="E56" s="394" t="s">
        <v>96</v>
      </c>
      <c r="F56" s="377"/>
      <c r="G56" s="377"/>
      <c r="H56" s="377"/>
      <c r="I56" s="381"/>
      <c r="J56" s="394" t="s">
        <v>97</v>
      </c>
      <c r="K56" s="377"/>
      <c r="L56" s="377"/>
      <c r="M56" s="377"/>
      <c r="N56" s="377"/>
      <c r="O56" s="381"/>
      <c r="P56" s="394" t="s">
        <v>98</v>
      </c>
      <c r="Q56" s="381"/>
      <c r="R56" s="381"/>
      <c r="S56" s="381"/>
      <c r="T56" s="381"/>
      <c r="U56" s="381"/>
      <c r="V56" s="394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4"/>
      <c r="B57" s="389"/>
      <c r="C57" s="395"/>
      <c r="D57" s="399">
        <v>33</v>
      </c>
      <c r="E57" s="399">
        <v>31.62</v>
      </c>
      <c r="F57" s="377"/>
      <c r="G57" s="377"/>
      <c r="H57" s="377"/>
      <c r="I57" s="381"/>
      <c r="J57" s="399">
        <v>34</v>
      </c>
      <c r="K57" s="377"/>
      <c r="L57" s="377"/>
      <c r="M57" s="377"/>
      <c r="N57" s="377"/>
      <c r="O57" s="381"/>
      <c r="P57" s="399">
        <v>31.29</v>
      </c>
      <c r="Q57" s="381"/>
      <c r="R57" s="381"/>
      <c r="S57" s="381"/>
      <c r="T57" s="381"/>
      <c r="U57" s="381"/>
      <c r="V57" s="399">
        <v>33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4"/>
      <c r="B58" s="389"/>
      <c r="C58" s="375"/>
      <c r="D58" s="377"/>
      <c r="E58" s="377"/>
      <c r="F58" s="377"/>
      <c r="G58" s="377"/>
      <c r="H58" s="377"/>
      <c r="I58" s="381"/>
      <c r="J58" s="377"/>
      <c r="K58" s="377"/>
      <c r="L58" s="377"/>
      <c r="M58" s="377"/>
      <c r="N58" s="377"/>
      <c r="O58" s="381"/>
      <c r="P58" s="381"/>
      <c r="Q58" s="381"/>
      <c r="R58" s="381"/>
      <c r="S58" s="381"/>
      <c r="T58" s="381"/>
      <c r="U58" s="381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4"/>
      <c r="B59" s="400" t="s">
        <v>92</v>
      </c>
      <c r="C59" s="401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3"/>
      <c r="W59" s="403"/>
      <c r="X59" s="403"/>
      <c r="Y59" s="403"/>
      <c r="Z59" s="403"/>
      <c r="AA59" s="403"/>
      <c r="AB59" s="404"/>
      <c r="AC59" s="4"/>
      <c r="AD59" s="4"/>
    </row>
    <row r="60" spans="1:30" x14ac:dyDescent="0.25">
      <c r="A60" s="4"/>
      <c r="B60" s="504"/>
      <c r="M60"/>
      <c r="AB60" s="407"/>
      <c r="AC60" s="4"/>
      <c r="AD60" s="4"/>
    </row>
    <row r="61" spans="1:30" x14ac:dyDescent="0.25">
      <c r="A61" s="4"/>
      <c r="B61" s="408" t="s">
        <v>271</v>
      </c>
      <c r="C61" s="409"/>
      <c r="D61" s="409"/>
      <c r="E61" s="409"/>
      <c r="F61" s="409"/>
      <c r="G61" s="409"/>
      <c r="H61" s="409"/>
      <c r="I61" s="409"/>
      <c r="J61" s="409"/>
      <c r="K61" s="409"/>
      <c r="L61" s="408"/>
      <c r="M61" s="409"/>
      <c r="N61" s="409"/>
      <c r="O61" s="409"/>
      <c r="P61" s="409"/>
      <c r="Q61" s="409"/>
      <c r="R61" s="409"/>
      <c r="S61" s="409"/>
      <c r="T61" s="409"/>
      <c r="U61" s="409"/>
      <c r="AB61" s="407"/>
      <c r="AC61" s="4"/>
      <c r="AD61" s="4"/>
    </row>
    <row r="62" spans="1:30" x14ac:dyDescent="0.25">
      <c r="A62" s="4"/>
      <c r="B62" s="408" t="s">
        <v>272</v>
      </c>
      <c r="C62" s="409"/>
      <c r="D62" s="409"/>
      <c r="E62" s="409"/>
      <c r="F62" s="409"/>
      <c r="G62" s="409"/>
      <c r="H62" s="409"/>
      <c r="I62" s="409"/>
      <c r="J62" s="409"/>
      <c r="K62" s="409"/>
      <c r="L62" s="408"/>
      <c r="M62" s="409"/>
      <c r="N62" s="409"/>
      <c r="O62" s="409"/>
      <c r="P62" s="409"/>
      <c r="Q62" s="409"/>
      <c r="R62" s="409"/>
      <c r="S62" s="409"/>
      <c r="T62" s="409"/>
      <c r="U62" s="409"/>
      <c r="AB62" s="407"/>
      <c r="AC62" s="4"/>
      <c r="AD62" s="4"/>
    </row>
    <row r="63" spans="1:30" x14ac:dyDescent="0.25">
      <c r="A63" s="4"/>
      <c r="B63" s="408" t="s">
        <v>273</v>
      </c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AB63" s="407"/>
      <c r="AC63" s="4"/>
      <c r="AD63" s="4"/>
    </row>
    <row r="64" spans="1:30" x14ac:dyDescent="0.25">
      <c r="A64" s="4"/>
      <c r="B64" s="410" t="s">
        <v>274</v>
      </c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AB64" s="407"/>
      <c r="AC64" s="4"/>
      <c r="AD64" s="4"/>
    </row>
    <row r="65" spans="1:30" x14ac:dyDescent="0.25">
      <c r="A65" s="4"/>
      <c r="B65" s="41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AB65" s="407"/>
      <c r="AC65" s="4"/>
      <c r="AD65" s="4"/>
    </row>
    <row r="66" spans="1:30" x14ac:dyDescent="0.25">
      <c r="A66" s="4"/>
      <c r="B66" s="41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AB66" s="407"/>
      <c r="AC66" s="4"/>
      <c r="AD66" s="4"/>
    </row>
    <row r="67" spans="1:30" x14ac:dyDescent="0.25">
      <c r="A67" s="4"/>
      <c r="B67" s="419"/>
      <c r="C67" s="420"/>
      <c r="D67" s="419"/>
      <c r="E67" s="419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1"/>
      <c r="Q67" s="421"/>
      <c r="R67" s="421"/>
      <c r="S67" s="421"/>
      <c r="T67" s="421"/>
      <c r="U67" s="421"/>
      <c r="V67" s="4"/>
      <c r="W67" s="4"/>
      <c r="X67" s="4"/>
      <c r="Y67" s="4"/>
      <c r="Z67" s="4"/>
      <c r="AA67" s="4"/>
      <c r="AB67" s="4"/>
      <c r="AC67" s="4"/>
      <c r="AD67" s="4"/>
    </row>
    <row r="68" spans="1:30" x14ac:dyDescent="0.25">
      <c r="A68" s="4"/>
      <c r="B68" s="422"/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5">
      <c r="A69" s="4"/>
      <c r="B69" s="422" t="s">
        <v>80</v>
      </c>
      <c r="C69" s="423">
        <v>45156</v>
      </c>
      <c r="D69" s="422" t="s">
        <v>76</v>
      </c>
      <c r="E69" s="409" t="s">
        <v>196</v>
      </c>
      <c r="F69" s="409"/>
      <c r="G69" s="409"/>
      <c r="H69" s="422"/>
      <c r="I69" s="422" t="s">
        <v>77</v>
      </c>
      <c r="J69" s="424" t="s">
        <v>275</v>
      </c>
      <c r="K69" s="424"/>
      <c r="L69" s="424"/>
      <c r="M69" s="424"/>
      <c r="N69" s="422"/>
      <c r="O69" s="422"/>
      <c r="P69" s="422"/>
      <c r="Q69" s="422"/>
      <c r="R69" s="422"/>
      <c r="S69" s="422"/>
      <c r="T69" s="422"/>
      <c r="U69" s="422"/>
      <c r="V69" s="4"/>
      <c r="W69" s="4"/>
      <c r="X69" s="4"/>
      <c r="Y69" s="4"/>
      <c r="Z69" s="4"/>
      <c r="AA69" s="4"/>
      <c r="AB69" s="4"/>
      <c r="AC69" s="4"/>
      <c r="AD69" s="4"/>
    </row>
    <row r="70" spans="1:30" ht="7.5" customHeight="1" x14ac:dyDescent="0.25">
      <c r="A70" s="4"/>
      <c r="B70" s="422"/>
      <c r="C70" s="422"/>
      <c r="D70" s="422"/>
      <c r="E70" s="422"/>
      <c r="F70" s="422"/>
      <c r="G70" s="422"/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5">
      <c r="A71" s="4"/>
      <c r="B71" s="422"/>
      <c r="C71" s="422"/>
      <c r="D71" s="422" t="s">
        <v>79</v>
      </c>
      <c r="E71" s="425"/>
      <c r="F71" s="425"/>
      <c r="G71" s="425"/>
      <c r="H71" s="422"/>
      <c r="I71" s="422" t="s">
        <v>79</v>
      </c>
      <c r="J71" s="426"/>
      <c r="K71" s="426"/>
      <c r="L71" s="426"/>
      <c r="M71" s="426"/>
      <c r="N71" s="422"/>
      <c r="O71" s="422"/>
      <c r="P71" s="422"/>
      <c r="Q71" s="422"/>
      <c r="R71" s="422"/>
      <c r="S71" s="422"/>
      <c r="T71" s="422"/>
      <c r="U71" s="422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5">
      <c r="A72" s="4"/>
      <c r="B72" s="422"/>
      <c r="C72" s="422"/>
      <c r="D72" s="422"/>
      <c r="E72" s="425"/>
      <c r="F72" s="425"/>
      <c r="G72" s="425"/>
      <c r="H72" s="422"/>
      <c r="I72" s="422"/>
      <c r="J72" s="426"/>
      <c r="K72" s="426"/>
      <c r="L72" s="426"/>
      <c r="M72" s="426"/>
      <c r="N72" s="422"/>
      <c r="O72" s="422"/>
      <c r="P72" s="422"/>
      <c r="Q72" s="422"/>
      <c r="R72" s="422"/>
      <c r="S72" s="422"/>
      <c r="T72" s="422"/>
      <c r="U72" s="422"/>
      <c r="V72" s="4"/>
      <c r="W72" s="4"/>
      <c r="X72" s="4"/>
      <c r="Y72" s="4"/>
      <c r="Z72" s="4"/>
      <c r="AA72" s="4"/>
      <c r="AB72" s="4"/>
      <c r="AC72" s="4"/>
      <c r="AD72" s="4"/>
    </row>
    <row r="73" spans="1:30" x14ac:dyDescent="0.25">
      <c r="A73" s="4"/>
      <c r="B73" s="422"/>
      <c r="C73" s="422"/>
      <c r="D73" s="422"/>
      <c r="E73" s="422"/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A74" s="4"/>
      <c r="B74" s="422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/>
    <row r="76" spans="1:30" x14ac:dyDescent="0.25"/>
    <row r="77" spans="1:30" x14ac:dyDescent="0.25"/>
    <row r="78" spans="1:30" x14ac:dyDescent="0.25"/>
    <row r="79" spans="1:30" x14ac:dyDescent="0.25"/>
    <row r="80" spans="1:3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ht="15" hidden="1" customHeight="1" x14ac:dyDescent="0.25"/>
    <row r="92" x14ac:dyDescent="0.25"/>
    <row r="93" x14ac:dyDescent="0.25"/>
    <row r="94" x14ac:dyDescent="0.25"/>
    <row r="95" x14ac:dyDescent="0.25"/>
    <row r="96" x14ac:dyDescent="0.25"/>
    <row r="105" ht="15" hidden="1" customHeight="1" x14ac:dyDescent="0.25"/>
    <row r="106" ht="15" hidden="1" customHeight="1" x14ac:dyDescent="0.25"/>
    <row r="127" x14ac:dyDescent="0.25"/>
    <row r="128" x14ac:dyDescent="0.25"/>
  </sheetData>
  <mergeCells count="66">
    <mergeCell ref="B62:K62"/>
    <mergeCell ref="L62:U62"/>
    <mergeCell ref="B63:U63"/>
    <mergeCell ref="E69:G69"/>
    <mergeCell ref="J69:M69"/>
    <mergeCell ref="Z26:Z27"/>
    <mergeCell ref="AA26:AA27"/>
    <mergeCell ref="C43:C44"/>
    <mergeCell ref="C46:C47"/>
    <mergeCell ref="D59:U59"/>
    <mergeCell ref="B61:K61"/>
    <mergeCell ref="L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28"/>
  <sheetViews>
    <sheetView showGridLines="0" zoomScale="80" zoomScaleNormal="80" zoomScaleSheetLayoutView="80" workbookViewId="0">
      <selection activeCell="C14" sqref="C1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427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1.2851562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2.140625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23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4"/>
      <c r="B4" s="4" t="s">
        <v>43</v>
      </c>
      <c r="C4" s="4"/>
      <c r="D4" s="239" t="s">
        <v>204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3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4"/>
      <c r="B6" s="4" t="s">
        <v>44</v>
      </c>
      <c r="C6" s="4"/>
      <c r="D6" s="240">
        <v>72744341</v>
      </c>
      <c r="E6" s="4"/>
      <c r="F6" s="4"/>
      <c r="G6" s="4"/>
      <c r="H6" s="4"/>
      <c r="I6" s="4"/>
      <c r="J6" s="4"/>
      <c r="K6" s="4"/>
      <c r="L6" s="4"/>
      <c r="M6" s="23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23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4"/>
      <c r="B8" s="4" t="s">
        <v>45</v>
      </c>
      <c r="C8" s="4"/>
      <c r="D8" s="242" t="s">
        <v>205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4"/>
      <c r="B10" s="243" t="s">
        <v>37</v>
      </c>
      <c r="C10" s="244" t="s">
        <v>38</v>
      </c>
      <c r="D10" s="245" t="s">
        <v>100</v>
      </c>
      <c r="E10" s="246"/>
      <c r="F10" s="246"/>
      <c r="G10" s="246"/>
      <c r="H10" s="246"/>
      <c r="I10" s="247"/>
      <c r="J10" s="245" t="s">
        <v>101</v>
      </c>
      <c r="K10" s="246"/>
      <c r="L10" s="246"/>
      <c r="M10" s="246"/>
      <c r="N10" s="246"/>
      <c r="O10" s="247"/>
      <c r="P10" s="245" t="s">
        <v>102</v>
      </c>
      <c r="Q10" s="246"/>
      <c r="R10" s="246"/>
      <c r="S10" s="246"/>
      <c r="T10" s="246"/>
      <c r="U10" s="247"/>
      <c r="V10" s="245" t="s">
        <v>103</v>
      </c>
      <c r="W10" s="246"/>
      <c r="X10" s="246"/>
      <c r="Y10" s="246"/>
      <c r="Z10" s="246"/>
      <c r="AA10" s="247"/>
      <c r="AB10" s="248" t="s">
        <v>99</v>
      </c>
      <c r="AC10" s="4"/>
      <c r="AD10" s="4"/>
    </row>
    <row r="11" spans="1:30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254" t="s">
        <v>40</v>
      </c>
      <c r="I11" s="254" t="s">
        <v>61</v>
      </c>
      <c r="J11" s="251" t="s">
        <v>39</v>
      </c>
      <c r="K11" s="252"/>
      <c r="L11" s="252"/>
      <c r="M11" s="253"/>
      <c r="N11" s="254" t="s">
        <v>40</v>
      </c>
      <c r="O11" s="254" t="s">
        <v>61</v>
      </c>
      <c r="P11" s="251" t="s">
        <v>39</v>
      </c>
      <c r="Q11" s="252"/>
      <c r="R11" s="252"/>
      <c r="S11" s="253"/>
      <c r="T11" s="254" t="s">
        <v>40</v>
      </c>
      <c r="U11" s="254" t="s">
        <v>61</v>
      </c>
      <c r="V11" s="251" t="s">
        <v>39</v>
      </c>
      <c r="W11" s="252"/>
      <c r="X11" s="252"/>
      <c r="Y11" s="253"/>
      <c r="Z11" s="254" t="s">
        <v>40</v>
      </c>
      <c r="AA11" s="254" t="s">
        <v>61</v>
      </c>
      <c r="AB11" s="255"/>
      <c r="AC11" s="4"/>
      <c r="AD11" s="4"/>
    </row>
    <row r="12" spans="1:30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9"/>
      <c r="J12" s="257" t="s">
        <v>62</v>
      </c>
      <c r="K12" s="258"/>
      <c r="L12" s="258"/>
      <c r="M12" s="258"/>
      <c r="N12" s="258"/>
      <c r="O12" s="259"/>
      <c r="P12" s="257" t="s">
        <v>62</v>
      </c>
      <c r="Q12" s="258"/>
      <c r="R12" s="258"/>
      <c r="S12" s="258"/>
      <c r="T12" s="258"/>
      <c r="U12" s="259"/>
      <c r="V12" s="257" t="s">
        <v>62</v>
      </c>
      <c r="W12" s="258"/>
      <c r="X12" s="258"/>
      <c r="Y12" s="258"/>
      <c r="Z12" s="258"/>
      <c r="AA12" s="259"/>
      <c r="AB12" s="255"/>
      <c r="AC12" s="4"/>
      <c r="AD12" s="4"/>
    </row>
    <row r="13" spans="1:30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264" t="s">
        <v>63</v>
      </c>
      <c r="H13" s="265" t="s">
        <v>66</v>
      </c>
      <c r="I13" s="266" t="s">
        <v>62</v>
      </c>
      <c r="J13" s="262" t="s">
        <v>57</v>
      </c>
      <c r="K13" s="263"/>
      <c r="L13" s="263"/>
      <c r="M13" s="264" t="s">
        <v>63</v>
      </c>
      <c r="N13" s="265" t="s">
        <v>66</v>
      </c>
      <c r="O13" s="266" t="s">
        <v>62</v>
      </c>
      <c r="P13" s="262" t="s">
        <v>57</v>
      </c>
      <c r="Q13" s="263"/>
      <c r="R13" s="263"/>
      <c r="S13" s="264" t="s">
        <v>63</v>
      </c>
      <c r="T13" s="265" t="s">
        <v>66</v>
      </c>
      <c r="U13" s="266" t="s">
        <v>62</v>
      </c>
      <c r="V13" s="262" t="s">
        <v>57</v>
      </c>
      <c r="W13" s="263"/>
      <c r="X13" s="263"/>
      <c r="Y13" s="264" t="s">
        <v>63</v>
      </c>
      <c r="Z13" s="265" t="s">
        <v>66</v>
      </c>
      <c r="AA13" s="266" t="s">
        <v>62</v>
      </c>
      <c r="AB13" s="255"/>
      <c r="AC13" s="4"/>
      <c r="AD13" s="4"/>
    </row>
    <row r="14" spans="1:30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271"/>
      <c r="H14" s="272"/>
      <c r="I14" s="273"/>
      <c r="J14" s="269" t="s">
        <v>58</v>
      </c>
      <c r="K14" s="270" t="s">
        <v>90</v>
      </c>
      <c r="L14" s="270" t="s">
        <v>59</v>
      </c>
      <c r="M14" s="271"/>
      <c r="N14" s="272"/>
      <c r="O14" s="273"/>
      <c r="P14" s="269" t="s">
        <v>58</v>
      </c>
      <c r="Q14" s="270" t="s">
        <v>90</v>
      </c>
      <c r="R14" s="270" t="s">
        <v>59</v>
      </c>
      <c r="S14" s="271"/>
      <c r="T14" s="272"/>
      <c r="U14" s="273"/>
      <c r="V14" s="269" t="s">
        <v>58</v>
      </c>
      <c r="W14" s="270" t="s">
        <v>90</v>
      </c>
      <c r="X14" s="270" t="s">
        <v>59</v>
      </c>
      <c r="Y14" s="271"/>
      <c r="Z14" s="272"/>
      <c r="AA14" s="273"/>
      <c r="AB14" s="274"/>
      <c r="AC14" s="4"/>
      <c r="AD14" s="4"/>
    </row>
    <row r="15" spans="1:30" x14ac:dyDescent="0.25">
      <c r="A15" s="4"/>
      <c r="B15" s="275" t="s">
        <v>0</v>
      </c>
      <c r="C15" s="276" t="s">
        <v>52</v>
      </c>
      <c r="D15" s="277"/>
      <c r="E15" s="278"/>
      <c r="F15" s="279">
        <v>1025.5</v>
      </c>
      <c r="G15" s="280">
        <f>SUM(D15:F15)</f>
        <v>1025.5</v>
      </c>
      <c r="H15" s="281"/>
      <c r="I15" s="282">
        <f>G15+H15</f>
        <v>1025.5</v>
      </c>
      <c r="J15" s="553"/>
      <c r="K15" s="554"/>
      <c r="L15" s="555">
        <v>1040</v>
      </c>
      <c r="M15" s="556">
        <f t="shared" ref="M15:M23" si="0">SUM(J15:L15)</f>
        <v>1040</v>
      </c>
      <c r="N15" s="557"/>
      <c r="O15" s="558">
        <f>M15+N15</f>
        <v>1040</v>
      </c>
      <c r="P15" s="277"/>
      <c r="Q15" s="278"/>
      <c r="R15" s="279">
        <v>644</v>
      </c>
      <c r="S15" s="280">
        <f>SUM(P15:R15)</f>
        <v>644</v>
      </c>
      <c r="T15" s="281"/>
      <c r="U15" s="282">
        <f>S15+T15</f>
        <v>644</v>
      </c>
      <c r="V15" s="277"/>
      <c r="W15" s="278"/>
      <c r="X15" s="279">
        <v>1040</v>
      </c>
      <c r="Y15" s="280">
        <f>SUM(V15:X15)</f>
        <v>1040</v>
      </c>
      <c r="Z15" s="281"/>
      <c r="AA15" s="282">
        <f>Y15+Z15</f>
        <v>1040</v>
      </c>
      <c r="AB15" s="283">
        <f>(AA15/O15)</f>
        <v>1</v>
      </c>
      <c r="AC15" s="4"/>
      <c r="AD15" s="4"/>
    </row>
    <row r="16" spans="1:30" x14ac:dyDescent="0.25">
      <c r="A16" s="4"/>
      <c r="B16" s="284" t="s">
        <v>1</v>
      </c>
      <c r="C16" s="285" t="s">
        <v>60</v>
      </c>
      <c r="D16" s="286">
        <v>2375</v>
      </c>
      <c r="E16" s="287"/>
      <c r="F16" s="287"/>
      <c r="G16" s="288">
        <f t="shared" ref="G16:G23" si="1">SUM(D16:F16)</f>
        <v>2375</v>
      </c>
      <c r="H16" s="289"/>
      <c r="I16" s="282">
        <f t="shared" ref="I16:I23" si="2">G16+H16</f>
        <v>2375</v>
      </c>
      <c r="J16" s="559">
        <v>3245</v>
      </c>
      <c r="K16" s="560"/>
      <c r="L16" s="560"/>
      <c r="M16" s="561">
        <f t="shared" si="0"/>
        <v>3245</v>
      </c>
      <c r="N16" s="562"/>
      <c r="O16" s="558">
        <f t="shared" ref="O16:O20" si="3">M16+N16</f>
        <v>3245</v>
      </c>
      <c r="P16" s="286">
        <v>1622.6</v>
      </c>
      <c r="Q16" s="287"/>
      <c r="R16" s="287"/>
      <c r="S16" s="288">
        <f t="shared" ref="S16:S23" si="4">SUM(P16:R16)</f>
        <v>1622.6</v>
      </c>
      <c r="T16" s="289"/>
      <c r="U16" s="282">
        <f t="shared" ref="U16:U20" si="5">S16+T16</f>
        <v>1622.6</v>
      </c>
      <c r="V16" s="286">
        <v>3845</v>
      </c>
      <c r="W16" s="287"/>
      <c r="X16" s="287"/>
      <c r="Y16" s="288">
        <f t="shared" ref="Y16:Y23" si="6">SUM(V16:X16)</f>
        <v>3845</v>
      </c>
      <c r="Z16" s="289"/>
      <c r="AA16" s="282">
        <f t="shared" ref="AA16:AA20" si="7">Y16+Z16</f>
        <v>3845</v>
      </c>
      <c r="AB16" s="283">
        <f t="shared" ref="AB16:AB24" si="8">(AA16/O16)</f>
        <v>1.184899845916795</v>
      </c>
      <c r="AC16" s="4"/>
      <c r="AD16" s="4"/>
    </row>
    <row r="17" spans="1:30" x14ac:dyDescent="0.25">
      <c r="A17" s="4"/>
      <c r="B17" s="284" t="s">
        <v>3</v>
      </c>
      <c r="C17" s="290" t="s">
        <v>78</v>
      </c>
      <c r="D17" s="58">
        <v>213.4</v>
      </c>
      <c r="E17" s="291"/>
      <c r="F17" s="291"/>
      <c r="G17" s="288">
        <f t="shared" si="1"/>
        <v>213.4</v>
      </c>
      <c r="H17" s="292"/>
      <c r="I17" s="282">
        <f t="shared" si="2"/>
        <v>213.4</v>
      </c>
      <c r="J17" s="442">
        <v>125</v>
      </c>
      <c r="K17" s="563"/>
      <c r="L17" s="563"/>
      <c r="M17" s="561">
        <f t="shared" si="0"/>
        <v>125</v>
      </c>
      <c r="N17" s="564"/>
      <c r="O17" s="558">
        <f t="shared" si="3"/>
        <v>125</v>
      </c>
      <c r="P17" s="58">
        <v>175</v>
      </c>
      <c r="Q17" s="291"/>
      <c r="R17" s="291"/>
      <c r="S17" s="288">
        <f t="shared" si="4"/>
        <v>175</v>
      </c>
      <c r="T17" s="292"/>
      <c r="U17" s="282">
        <f t="shared" si="5"/>
        <v>175</v>
      </c>
      <c r="V17" s="58">
        <v>657800</v>
      </c>
      <c r="W17" s="291"/>
      <c r="X17" s="291"/>
      <c r="Y17" s="288">
        <f t="shared" si="6"/>
        <v>657800</v>
      </c>
      <c r="Z17" s="292"/>
      <c r="AA17" s="282">
        <f t="shared" si="7"/>
        <v>657800</v>
      </c>
      <c r="AB17" s="283">
        <f t="shared" si="8"/>
        <v>5262.4</v>
      </c>
      <c r="AC17" s="4"/>
      <c r="AD17" s="4"/>
    </row>
    <row r="18" spans="1:30" x14ac:dyDescent="0.25">
      <c r="A18" s="4"/>
      <c r="B18" s="284" t="s">
        <v>5</v>
      </c>
      <c r="C18" s="293" t="s">
        <v>53</v>
      </c>
      <c r="D18" s="294"/>
      <c r="E18" s="60">
        <v>22680.2</v>
      </c>
      <c r="F18" s="291"/>
      <c r="G18" s="288">
        <f t="shared" si="1"/>
        <v>22680.2</v>
      </c>
      <c r="H18" s="281"/>
      <c r="I18" s="282">
        <f t="shared" si="2"/>
        <v>22680.2</v>
      </c>
      <c r="J18" s="565"/>
      <c r="K18" s="448">
        <v>21752</v>
      </c>
      <c r="L18" s="563"/>
      <c r="M18" s="561">
        <f t="shared" si="0"/>
        <v>21752</v>
      </c>
      <c r="N18" s="557"/>
      <c r="O18" s="558">
        <f t="shared" si="3"/>
        <v>21752</v>
      </c>
      <c r="P18" s="294"/>
      <c r="Q18" s="60">
        <v>11833.8</v>
      </c>
      <c r="R18" s="291"/>
      <c r="S18" s="288">
        <f t="shared" si="4"/>
        <v>11833.8</v>
      </c>
      <c r="T18" s="281"/>
      <c r="U18" s="282">
        <f t="shared" si="5"/>
        <v>11833.8</v>
      </c>
      <c r="V18" s="294"/>
      <c r="W18" s="60">
        <v>24725.1</v>
      </c>
      <c r="X18" s="291"/>
      <c r="Y18" s="288">
        <f t="shared" si="6"/>
        <v>24725.1</v>
      </c>
      <c r="Z18" s="281"/>
      <c r="AA18" s="282">
        <f t="shared" si="7"/>
        <v>24725.1</v>
      </c>
      <c r="AB18" s="283">
        <f t="shared" si="8"/>
        <v>1.1366816844428098</v>
      </c>
      <c r="AC18" s="4"/>
      <c r="AD18" s="4"/>
    </row>
    <row r="19" spans="1:30" x14ac:dyDescent="0.25">
      <c r="A19" s="4"/>
      <c r="B19" s="284" t="s">
        <v>7</v>
      </c>
      <c r="C19" s="295" t="s">
        <v>46</v>
      </c>
      <c r="D19" s="296"/>
      <c r="E19" s="291"/>
      <c r="F19" s="60">
        <v>18.600000000000001</v>
      </c>
      <c r="G19" s="288">
        <f t="shared" si="1"/>
        <v>18.600000000000001</v>
      </c>
      <c r="H19" s="281"/>
      <c r="I19" s="282">
        <f t="shared" si="2"/>
        <v>18.600000000000001</v>
      </c>
      <c r="J19" s="566"/>
      <c r="K19" s="563"/>
      <c r="L19" s="448">
        <v>44.5</v>
      </c>
      <c r="M19" s="561">
        <f t="shared" si="0"/>
        <v>44.5</v>
      </c>
      <c r="N19" s="557"/>
      <c r="O19" s="558">
        <f t="shared" si="3"/>
        <v>44.5</v>
      </c>
      <c r="P19" s="296"/>
      <c r="Q19" s="291"/>
      <c r="R19" s="60"/>
      <c r="S19" s="288">
        <f t="shared" si="4"/>
        <v>0</v>
      </c>
      <c r="T19" s="281"/>
      <c r="U19" s="282">
        <f t="shared" si="5"/>
        <v>0</v>
      </c>
      <c r="V19" s="296"/>
      <c r="W19" s="291"/>
      <c r="X19" s="60">
        <v>44.5</v>
      </c>
      <c r="Y19" s="288">
        <f t="shared" si="6"/>
        <v>44.5</v>
      </c>
      <c r="Z19" s="281"/>
      <c r="AA19" s="282">
        <f t="shared" si="7"/>
        <v>44.5</v>
      </c>
      <c r="AB19" s="283">
        <f t="shared" si="8"/>
        <v>1</v>
      </c>
      <c r="AC19" s="4"/>
      <c r="AD19" s="4"/>
    </row>
    <row r="20" spans="1:30" x14ac:dyDescent="0.25">
      <c r="A20" s="4"/>
      <c r="B20" s="284" t="s">
        <v>9</v>
      </c>
      <c r="C20" s="297" t="s">
        <v>47</v>
      </c>
      <c r="D20" s="294"/>
      <c r="E20" s="287"/>
      <c r="F20" s="298">
        <v>114.1</v>
      </c>
      <c r="G20" s="288">
        <v>114.1</v>
      </c>
      <c r="H20" s="281"/>
      <c r="I20" s="282">
        <f t="shared" si="2"/>
        <v>114.1</v>
      </c>
      <c r="J20" s="565"/>
      <c r="K20" s="560"/>
      <c r="L20" s="567">
        <v>20</v>
      </c>
      <c r="M20" s="561">
        <f t="shared" si="0"/>
        <v>20</v>
      </c>
      <c r="N20" s="557"/>
      <c r="O20" s="558">
        <f t="shared" si="3"/>
        <v>20</v>
      </c>
      <c r="P20" s="294"/>
      <c r="Q20" s="287"/>
      <c r="R20" s="298">
        <v>23.6</v>
      </c>
      <c r="S20" s="288">
        <f t="shared" si="4"/>
        <v>23.6</v>
      </c>
      <c r="T20" s="281"/>
      <c r="U20" s="282">
        <f t="shared" si="5"/>
        <v>23.6</v>
      </c>
      <c r="V20" s="294"/>
      <c r="W20" s="287"/>
      <c r="X20" s="298">
        <v>92</v>
      </c>
      <c r="Y20" s="288">
        <f t="shared" si="6"/>
        <v>92</v>
      </c>
      <c r="Z20" s="281"/>
      <c r="AA20" s="282">
        <f t="shared" si="7"/>
        <v>92</v>
      </c>
      <c r="AB20" s="283">
        <f t="shared" si="8"/>
        <v>4.5999999999999996</v>
      </c>
      <c r="AC20" s="4"/>
      <c r="AD20" s="4"/>
    </row>
    <row r="21" spans="1:30" x14ac:dyDescent="0.25">
      <c r="A21" s="4"/>
      <c r="B21" s="284" t="s">
        <v>11</v>
      </c>
      <c r="C21" s="299" t="s">
        <v>2</v>
      </c>
      <c r="D21" s="294"/>
      <c r="E21" s="287"/>
      <c r="F21" s="298">
        <v>113.1</v>
      </c>
      <c r="G21" s="288">
        <f t="shared" si="1"/>
        <v>113.1</v>
      </c>
      <c r="H21" s="300"/>
      <c r="I21" s="282">
        <f>G21+H21</f>
        <v>113.1</v>
      </c>
      <c r="J21" s="565"/>
      <c r="K21" s="560"/>
      <c r="L21" s="567"/>
      <c r="M21" s="561">
        <f t="shared" si="0"/>
        <v>0</v>
      </c>
      <c r="N21" s="568"/>
      <c r="O21" s="558">
        <f>M21+N21</f>
        <v>0</v>
      </c>
      <c r="P21" s="294"/>
      <c r="Q21" s="287"/>
      <c r="R21" s="298">
        <v>62.8</v>
      </c>
      <c r="S21" s="288">
        <f t="shared" si="4"/>
        <v>62.8</v>
      </c>
      <c r="T21" s="300"/>
      <c r="U21" s="282">
        <f>S21+T21</f>
        <v>62.8</v>
      </c>
      <c r="V21" s="294"/>
      <c r="W21" s="287"/>
      <c r="X21" s="298">
        <v>116</v>
      </c>
      <c r="Y21" s="288">
        <f t="shared" si="6"/>
        <v>116</v>
      </c>
      <c r="Z21" s="300"/>
      <c r="AA21" s="282">
        <f>Y21+Z21</f>
        <v>116</v>
      </c>
      <c r="AB21" s="283" t="e">
        <f t="shared" si="8"/>
        <v>#DIV/0!</v>
      </c>
      <c r="AC21" s="4"/>
      <c r="AD21" s="4"/>
    </row>
    <row r="22" spans="1:30" x14ac:dyDescent="0.25">
      <c r="A22" s="4"/>
      <c r="B22" s="284" t="s">
        <v>13</v>
      </c>
      <c r="C22" s="299" t="s">
        <v>4</v>
      </c>
      <c r="D22" s="294"/>
      <c r="E22" s="287"/>
      <c r="F22" s="298"/>
      <c r="G22" s="288">
        <f t="shared" si="1"/>
        <v>0</v>
      </c>
      <c r="H22" s="300"/>
      <c r="I22" s="282">
        <f t="shared" si="2"/>
        <v>0</v>
      </c>
      <c r="J22" s="565"/>
      <c r="K22" s="560"/>
      <c r="L22" s="567"/>
      <c r="M22" s="561">
        <f t="shared" si="0"/>
        <v>0</v>
      </c>
      <c r="N22" s="568"/>
      <c r="O22" s="558">
        <f t="shared" ref="O22:O23" si="9">M22+N22</f>
        <v>0</v>
      </c>
      <c r="P22" s="294"/>
      <c r="Q22" s="287"/>
      <c r="R22" s="298"/>
      <c r="S22" s="288">
        <f t="shared" si="4"/>
        <v>0</v>
      </c>
      <c r="T22" s="300"/>
      <c r="U22" s="282">
        <f t="shared" ref="U22:U23" si="10">S22+T22</f>
        <v>0</v>
      </c>
      <c r="V22" s="294"/>
      <c r="W22" s="287"/>
      <c r="X22" s="298"/>
      <c r="Y22" s="288">
        <f t="shared" si="6"/>
        <v>0</v>
      </c>
      <c r="Z22" s="300"/>
      <c r="AA22" s="282">
        <f t="shared" ref="AA22:AA23" si="11">Y22+Z22</f>
        <v>0</v>
      </c>
      <c r="AB22" s="283" t="e">
        <f t="shared" si="8"/>
        <v>#DIV/0!</v>
      </c>
      <c r="AC22" s="4"/>
      <c r="AD22" s="4"/>
    </row>
    <row r="23" spans="1:30" ht="15.75" thickBot="1" x14ac:dyDescent="0.3">
      <c r="A23" s="4"/>
      <c r="B23" s="301" t="s">
        <v>15</v>
      </c>
      <c r="C23" s="302" t="s">
        <v>6</v>
      </c>
      <c r="D23" s="303"/>
      <c r="E23" s="304"/>
      <c r="F23" s="305"/>
      <c r="G23" s="306">
        <f t="shared" si="1"/>
        <v>0</v>
      </c>
      <c r="H23" s="307"/>
      <c r="I23" s="308">
        <f t="shared" si="2"/>
        <v>0</v>
      </c>
      <c r="J23" s="569"/>
      <c r="K23" s="570"/>
      <c r="L23" s="571"/>
      <c r="M23" s="572">
        <f t="shared" si="0"/>
        <v>0</v>
      </c>
      <c r="N23" s="573"/>
      <c r="O23" s="574">
        <f t="shared" si="9"/>
        <v>0</v>
      </c>
      <c r="P23" s="303"/>
      <c r="Q23" s="304"/>
      <c r="R23" s="305"/>
      <c r="S23" s="306">
        <f t="shared" si="4"/>
        <v>0</v>
      </c>
      <c r="T23" s="307"/>
      <c r="U23" s="308">
        <f t="shared" si="10"/>
        <v>0</v>
      </c>
      <c r="V23" s="303"/>
      <c r="W23" s="304"/>
      <c r="X23" s="305"/>
      <c r="Y23" s="306">
        <f t="shared" si="6"/>
        <v>0</v>
      </c>
      <c r="Z23" s="307"/>
      <c r="AA23" s="308">
        <f t="shared" si="11"/>
        <v>0</v>
      </c>
      <c r="AB23" s="309" t="e">
        <f t="shared" si="8"/>
        <v>#DIV/0!</v>
      </c>
      <c r="AC23" s="4"/>
      <c r="AD23" s="4"/>
    </row>
    <row r="24" spans="1:30" ht="15.75" thickBot="1" x14ac:dyDescent="0.3">
      <c r="A24" s="4"/>
      <c r="B24" s="310" t="s">
        <v>17</v>
      </c>
      <c r="C24" s="311" t="s">
        <v>8</v>
      </c>
      <c r="D24" s="312">
        <f>SUM(D15:D21)</f>
        <v>2588.4</v>
      </c>
      <c r="E24" s="313">
        <f>SUM(E15:E21)</f>
        <v>22680.2</v>
      </c>
      <c r="F24" s="313">
        <f>SUM(F15:F21)</f>
        <v>1271.2999999999997</v>
      </c>
      <c r="G24" s="314">
        <f>SUM(D24:F24)</f>
        <v>26539.9</v>
      </c>
      <c r="H24" s="315">
        <f>SUM(H15:H21)</f>
        <v>0</v>
      </c>
      <c r="I24" s="315">
        <f>SUM(I15:I21)</f>
        <v>26539.899999999998</v>
      </c>
      <c r="J24" s="575">
        <f>SUM(J15:J21)</f>
        <v>3370</v>
      </c>
      <c r="K24" s="576">
        <f>SUM(K15:K21)</f>
        <v>21752</v>
      </c>
      <c r="L24" s="576">
        <f>SUM(L15:L21)</f>
        <v>1104.5</v>
      </c>
      <c r="M24" s="577">
        <f>SUM(J24:L24)</f>
        <v>26226.5</v>
      </c>
      <c r="N24" s="578">
        <f>SUM(N15:N21)</f>
        <v>0</v>
      </c>
      <c r="O24" s="578">
        <f>SUM(O15:O21)</f>
        <v>26226.5</v>
      </c>
      <c r="P24" s="312">
        <f>SUM(P15:P21)</f>
        <v>1797.6</v>
      </c>
      <c r="Q24" s="313">
        <f>SUM(Q15:Q21)</f>
        <v>11833.8</v>
      </c>
      <c r="R24" s="313">
        <f>SUM(R15:R21)</f>
        <v>730.4</v>
      </c>
      <c r="S24" s="314">
        <f>SUM(P24:R24)</f>
        <v>14361.8</v>
      </c>
      <c r="T24" s="315">
        <f>SUM(T15:T21)</f>
        <v>0</v>
      </c>
      <c r="U24" s="315">
        <f>SUM(U15:U21)</f>
        <v>14361.8</v>
      </c>
      <c r="V24" s="312">
        <f>SUM(V15:V21)</f>
        <v>661645</v>
      </c>
      <c r="W24" s="313">
        <f>SUM(W15:W21)</f>
        <v>24725.1</v>
      </c>
      <c r="X24" s="313">
        <f>SUM(X15:X21)</f>
        <v>1292.5</v>
      </c>
      <c r="Y24" s="314">
        <f>SUM(V24:X24)</f>
        <v>687662.6</v>
      </c>
      <c r="Z24" s="315">
        <f>SUM(Z15:Z21)</f>
        <v>0</v>
      </c>
      <c r="AA24" s="315">
        <f>SUM(AA15:AA21)</f>
        <v>687662.6</v>
      </c>
      <c r="AB24" s="316">
        <f t="shared" si="8"/>
        <v>26.220143747736067</v>
      </c>
      <c r="AC24" s="4"/>
      <c r="AD24" s="4"/>
    </row>
    <row r="25" spans="1:30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2"/>
      <c r="J25" s="579" t="s">
        <v>68</v>
      </c>
      <c r="K25" s="580"/>
      <c r="L25" s="580"/>
      <c r="M25" s="581"/>
      <c r="N25" s="581"/>
      <c r="O25" s="582"/>
      <c r="P25" s="319" t="s">
        <v>68</v>
      </c>
      <c r="Q25" s="320"/>
      <c r="R25" s="320"/>
      <c r="S25" s="321"/>
      <c r="T25" s="321"/>
      <c r="U25" s="322"/>
      <c r="V25" s="319" t="s">
        <v>68</v>
      </c>
      <c r="W25" s="320"/>
      <c r="X25" s="320"/>
      <c r="Y25" s="321"/>
      <c r="Z25" s="321"/>
      <c r="AA25" s="322"/>
      <c r="AB25" s="323" t="s">
        <v>99</v>
      </c>
      <c r="AC25" s="4"/>
      <c r="AD25" s="4"/>
    </row>
    <row r="26" spans="1:30" ht="15.75" thickBot="1" x14ac:dyDescent="0.3">
      <c r="A26" s="4"/>
      <c r="B26" s="324" t="s">
        <v>37</v>
      </c>
      <c r="C26" s="244" t="s">
        <v>38</v>
      </c>
      <c r="D26" s="325" t="s">
        <v>69</v>
      </c>
      <c r="E26" s="326"/>
      <c r="F26" s="326"/>
      <c r="G26" s="264" t="s">
        <v>64</v>
      </c>
      <c r="H26" s="327" t="s">
        <v>67</v>
      </c>
      <c r="I26" s="328" t="s">
        <v>68</v>
      </c>
      <c r="J26" s="583" t="s">
        <v>69</v>
      </c>
      <c r="K26" s="584"/>
      <c r="L26" s="584"/>
      <c r="M26" s="585" t="s">
        <v>64</v>
      </c>
      <c r="N26" s="586" t="s">
        <v>67</v>
      </c>
      <c r="O26" s="587" t="s">
        <v>68</v>
      </c>
      <c r="P26" s="325" t="s">
        <v>69</v>
      </c>
      <c r="Q26" s="326"/>
      <c r="R26" s="326"/>
      <c r="S26" s="264" t="s">
        <v>64</v>
      </c>
      <c r="T26" s="327" t="s">
        <v>67</v>
      </c>
      <c r="U26" s="328" t="s">
        <v>68</v>
      </c>
      <c r="V26" s="325" t="s">
        <v>69</v>
      </c>
      <c r="W26" s="326"/>
      <c r="X26" s="326"/>
      <c r="Y26" s="264" t="s">
        <v>64</v>
      </c>
      <c r="Z26" s="327" t="s">
        <v>67</v>
      </c>
      <c r="AA26" s="328" t="s">
        <v>68</v>
      </c>
      <c r="AB26" s="329"/>
      <c r="AC26" s="4"/>
      <c r="AD26" s="4"/>
    </row>
    <row r="27" spans="1:30" ht="15.75" thickBot="1" x14ac:dyDescent="0.3">
      <c r="A27" s="4"/>
      <c r="B27" s="330"/>
      <c r="C27" s="250"/>
      <c r="D27" s="331" t="s">
        <v>54</v>
      </c>
      <c r="E27" s="332" t="s">
        <v>55</v>
      </c>
      <c r="F27" s="333" t="s">
        <v>56</v>
      </c>
      <c r="G27" s="271"/>
      <c r="H27" s="334"/>
      <c r="I27" s="335"/>
      <c r="J27" s="588" t="s">
        <v>54</v>
      </c>
      <c r="K27" s="589" t="s">
        <v>55</v>
      </c>
      <c r="L27" s="590" t="s">
        <v>56</v>
      </c>
      <c r="M27" s="591"/>
      <c r="N27" s="592"/>
      <c r="O27" s="593"/>
      <c r="P27" s="331" t="s">
        <v>54</v>
      </c>
      <c r="Q27" s="332" t="s">
        <v>55</v>
      </c>
      <c r="R27" s="333" t="s">
        <v>56</v>
      </c>
      <c r="S27" s="271"/>
      <c r="T27" s="334"/>
      <c r="U27" s="335"/>
      <c r="V27" s="331" t="s">
        <v>54</v>
      </c>
      <c r="W27" s="332" t="s">
        <v>55</v>
      </c>
      <c r="X27" s="333" t="s">
        <v>56</v>
      </c>
      <c r="Y27" s="271"/>
      <c r="Z27" s="334"/>
      <c r="AA27" s="335"/>
      <c r="AB27" s="336"/>
      <c r="AC27" s="4"/>
      <c r="AD27" s="4"/>
    </row>
    <row r="28" spans="1:30" x14ac:dyDescent="0.25">
      <c r="A28" s="4"/>
      <c r="B28" s="275" t="s">
        <v>19</v>
      </c>
      <c r="C28" s="276" t="s">
        <v>10</v>
      </c>
      <c r="D28" s="337">
        <v>266.5</v>
      </c>
      <c r="E28" s="337"/>
      <c r="F28" s="337"/>
      <c r="G28" s="338">
        <f>SUM(D28:F28)</f>
        <v>266.5</v>
      </c>
      <c r="H28" s="338"/>
      <c r="I28" s="339">
        <f>G28+H28</f>
        <v>266.5</v>
      </c>
      <c r="J28" s="594">
        <v>505.7</v>
      </c>
      <c r="K28" s="595"/>
      <c r="L28" s="595"/>
      <c r="M28" s="596">
        <f>SUM(J28:L28)</f>
        <v>505.7</v>
      </c>
      <c r="N28" s="596"/>
      <c r="O28" s="597">
        <f>M28+N28</f>
        <v>505.7</v>
      </c>
      <c r="P28" s="340">
        <v>19.2</v>
      </c>
      <c r="Q28" s="337"/>
      <c r="R28" s="337"/>
      <c r="S28" s="338">
        <f>SUM(P28:R28)</f>
        <v>19.2</v>
      </c>
      <c r="T28" s="338"/>
      <c r="U28" s="339">
        <f>S28+T28</f>
        <v>19.2</v>
      </c>
      <c r="V28" s="340">
        <v>780</v>
      </c>
      <c r="W28" s="337"/>
      <c r="X28" s="337"/>
      <c r="Y28" s="338">
        <f>SUM(V28:X28)</f>
        <v>780</v>
      </c>
      <c r="Z28" s="338"/>
      <c r="AA28" s="339">
        <f>Y28+Z28</f>
        <v>780</v>
      </c>
      <c r="AB28" s="283">
        <f t="shared" ref="AB28:AB41" si="12">(AA28/O28)</f>
        <v>1.5424164524421595</v>
      </c>
      <c r="AC28" s="4"/>
      <c r="AD28" s="4"/>
    </row>
    <row r="29" spans="1:30" x14ac:dyDescent="0.25">
      <c r="A29" s="4"/>
      <c r="B29" s="284" t="s">
        <v>20</v>
      </c>
      <c r="C29" s="299" t="s">
        <v>12</v>
      </c>
      <c r="D29" s="341">
        <v>254.8</v>
      </c>
      <c r="E29" s="341">
        <v>67.7</v>
      </c>
      <c r="F29" s="341">
        <v>910.2</v>
      </c>
      <c r="G29" s="342">
        <f t="shared" ref="G29:G38" si="13">SUM(D29:F29)</f>
        <v>1232.7</v>
      </c>
      <c r="H29" s="342"/>
      <c r="I29" s="282">
        <f t="shared" ref="I29:I38" si="14">G29+H29</f>
        <v>1232.7</v>
      </c>
      <c r="J29" s="598">
        <v>418</v>
      </c>
      <c r="K29" s="487"/>
      <c r="L29" s="487">
        <v>848</v>
      </c>
      <c r="M29" s="599">
        <f t="shared" ref="M29:M38" si="15">SUM(J29:L29)</f>
        <v>1266</v>
      </c>
      <c r="N29" s="599"/>
      <c r="O29" s="558">
        <f t="shared" ref="O29:O38" si="16">M29+N29</f>
        <v>1266</v>
      </c>
      <c r="P29" s="343">
        <v>124.9</v>
      </c>
      <c r="Q29" s="341">
        <v>42.5</v>
      </c>
      <c r="R29" s="341">
        <v>514.1</v>
      </c>
      <c r="S29" s="342">
        <f t="shared" ref="S29:S38" si="17">SUM(P29:R29)</f>
        <v>681.5</v>
      </c>
      <c r="T29" s="342"/>
      <c r="U29" s="282">
        <f t="shared" ref="U29:U38" si="18">S29+T29</f>
        <v>681.5</v>
      </c>
      <c r="V29" s="343">
        <v>520</v>
      </c>
      <c r="W29" s="341">
        <v>69</v>
      </c>
      <c r="X29" s="341">
        <v>877</v>
      </c>
      <c r="Y29" s="342">
        <f t="shared" ref="Y29:Y38" si="19">SUM(V29:X29)</f>
        <v>1466</v>
      </c>
      <c r="Z29" s="342"/>
      <c r="AA29" s="282">
        <f t="shared" ref="AA29:AA38" si="20">Y29+Z29</f>
        <v>1466</v>
      </c>
      <c r="AB29" s="283">
        <f t="shared" si="12"/>
        <v>1.1579778830963665</v>
      </c>
      <c r="AC29" s="4"/>
      <c r="AD29" s="4"/>
    </row>
    <row r="30" spans="1:30" x14ac:dyDescent="0.25">
      <c r="A30" s="4"/>
      <c r="B30" s="284" t="s">
        <v>22</v>
      </c>
      <c r="C30" s="299" t="s">
        <v>14</v>
      </c>
      <c r="D30" s="341">
        <v>1111.2</v>
      </c>
      <c r="E30" s="341"/>
      <c r="F30" s="341"/>
      <c r="G30" s="342">
        <f t="shared" si="13"/>
        <v>1111.2</v>
      </c>
      <c r="H30" s="342"/>
      <c r="I30" s="282">
        <f t="shared" si="14"/>
        <v>1111.2</v>
      </c>
      <c r="J30" s="598">
        <v>1275</v>
      </c>
      <c r="K30" s="487"/>
      <c r="L30" s="487"/>
      <c r="M30" s="599">
        <f t="shared" si="15"/>
        <v>1275</v>
      </c>
      <c r="N30" s="599"/>
      <c r="O30" s="558">
        <f t="shared" si="16"/>
        <v>1275</v>
      </c>
      <c r="P30" s="343">
        <v>588.4</v>
      </c>
      <c r="Q30" s="341"/>
      <c r="R30" s="341"/>
      <c r="S30" s="342">
        <f t="shared" si="17"/>
        <v>588.4</v>
      </c>
      <c r="T30" s="342"/>
      <c r="U30" s="282">
        <f t="shared" si="18"/>
        <v>588.4</v>
      </c>
      <c r="V30" s="343">
        <v>1290</v>
      </c>
      <c r="W30" s="341"/>
      <c r="X30" s="341"/>
      <c r="Y30" s="342">
        <f t="shared" si="19"/>
        <v>1290</v>
      </c>
      <c r="Z30" s="342"/>
      <c r="AA30" s="282">
        <f t="shared" si="20"/>
        <v>1290</v>
      </c>
      <c r="AB30" s="283">
        <f t="shared" si="12"/>
        <v>1.0117647058823529</v>
      </c>
      <c r="AC30" s="4"/>
      <c r="AD30" s="4"/>
    </row>
    <row r="31" spans="1:30" x14ac:dyDescent="0.25">
      <c r="A31" s="4"/>
      <c r="B31" s="284" t="s">
        <v>24</v>
      </c>
      <c r="C31" s="299" t="s">
        <v>16</v>
      </c>
      <c r="D31" s="341">
        <v>429.9</v>
      </c>
      <c r="E31" s="341">
        <v>76.599999999999994</v>
      </c>
      <c r="F31" s="341">
        <v>86.2</v>
      </c>
      <c r="G31" s="342">
        <f t="shared" si="13"/>
        <v>592.70000000000005</v>
      </c>
      <c r="H31" s="342"/>
      <c r="I31" s="282">
        <f t="shared" si="14"/>
        <v>592.70000000000005</v>
      </c>
      <c r="J31" s="598">
        <v>409</v>
      </c>
      <c r="K31" s="487"/>
      <c r="L31" s="487">
        <v>65.8</v>
      </c>
      <c r="M31" s="599">
        <f t="shared" si="15"/>
        <v>474.8</v>
      </c>
      <c r="N31" s="599"/>
      <c r="O31" s="558">
        <f t="shared" si="16"/>
        <v>474.8</v>
      </c>
      <c r="P31" s="343">
        <v>354.6</v>
      </c>
      <c r="Q31" s="341">
        <v>27</v>
      </c>
      <c r="R31" s="341">
        <v>65.400000000000006</v>
      </c>
      <c r="S31" s="342">
        <f t="shared" si="17"/>
        <v>447</v>
      </c>
      <c r="T31" s="342"/>
      <c r="U31" s="282">
        <f t="shared" si="18"/>
        <v>447</v>
      </c>
      <c r="V31" s="343">
        <v>1043.8</v>
      </c>
      <c r="W31" s="341">
        <v>75.8</v>
      </c>
      <c r="X31" s="341">
        <v>89</v>
      </c>
      <c r="Y31" s="342">
        <f t="shared" si="19"/>
        <v>1208.5999999999999</v>
      </c>
      <c r="Z31" s="342"/>
      <c r="AA31" s="282">
        <f t="shared" si="20"/>
        <v>1208.5999999999999</v>
      </c>
      <c r="AB31" s="283">
        <f t="shared" si="12"/>
        <v>2.545492839090143</v>
      </c>
      <c r="AC31" s="4"/>
      <c r="AD31" s="4"/>
    </row>
    <row r="32" spans="1:30" x14ac:dyDescent="0.25">
      <c r="A32" s="4"/>
      <c r="B32" s="284" t="s">
        <v>26</v>
      </c>
      <c r="C32" s="299" t="s">
        <v>18</v>
      </c>
      <c r="D32" s="345">
        <v>7.6</v>
      </c>
      <c r="E32" s="341">
        <v>16984.900000000001</v>
      </c>
      <c r="F32" s="341">
        <v>39.4</v>
      </c>
      <c r="G32" s="342">
        <f t="shared" si="13"/>
        <v>17031.900000000001</v>
      </c>
      <c r="H32" s="342"/>
      <c r="I32" s="282">
        <f t="shared" si="14"/>
        <v>17031.900000000001</v>
      </c>
      <c r="J32" s="598">
        <v>20.6</v>
      </c>
      <c r="K32" s="487">
        <v>16078.4</v>
      </c>
      <c r="L32" s="487">
        <v>40</v>
      </c>
      <c r="M32" s="599">
        <f t="shared" si="15"/>
        <v>16139</v>
      </c>
      <c r="N32" s="599"/>
      <c r="O32" s="558">
        <f t="shared" si="16"/>
        <v>16139</v>
      </c>
      <c r="P32" s="506">
        <v>28</v>
      </c>
      <c r="Q32" s="341">
        <v>8579.2999999999993</v>
      </c>
      <c r="R32" s="341">
        <v>14.6</v>
      </c>
      <c r="S32" s="342">
        <f t="shared" si="17"/>
        <v>8621.9</v>
      </c>
      <c r="T32" s="342"/>
      <c r="U32" s="282">
        <f t="shared" si="18"/>
        <v>8621.9</v>
      </c>
      <c r="V32" s="506">
        <v>27</v>
      </c>
      <c r="W32" s="341">
        <v>17978.2</v>
      </c>
      <c r="X32" s="341">
        <v>40</v>
      </c>
      <c r="Y32" s="342">
        <f t="shared" si="19"/>
        <v>18045.2</v>
      </c>
      <c r="Z32" s="342"/>
      <c r="AA32" s="282">
        <f t="shared" si="20"/>
        <v>18045.2</v>
      </c>
      <c r="AB32" s="283">
        <f t="shared" si="12"/>
        <v>1.118111407150381</v>
      </c>
      <c r="AC32" s="4"/>
      <c r="AD32" s="4"/>
    </row>
    <row r="33" spans="1:30" x14ac:dyDescent="0.25">
      <c r="A33" s="4"/>
      <c r="B33" s="284" t="s">
        <v>28</v>
      </c>
      <c r="C33" s="295" t="s">
        <v>42</v>
      </c>
      <c r="D33" s="345">
        <v>7.4</v>
      </c>
      <c r="E33" s="341">
        <v>16308</v>
      </c>
      <c r="F33" s="341">
        <v>39.4</v>
      </c>
      <c r="G33" s="342">
        <f t="shared" si="13"/>
        <v>16354.8</v>
      </c>
      <c r="H33" s="342"/>
      <c r="I33" s="282">
        <f t="shared" si="14"/>
        <v>16354.8</v>
      </c>
      <c r="J33" s="598">
        <v>20.6</v>
      </c>
      <c r="K33" s="487">
        <v>15841.4</v>
      </c>
      <c r="L33" s="487">
        <v>40</v>
      </c>
      <c r="M33" s="599">
        <f t="shared" si="15"/>
        <v>15902</v>
      </c>
      <c r="N33" s="599"/>
      <c r="O33" s="558">
        <f t="shared" si="16"/>
        <v>15902</v>
      </c>
      <c r="P33" s="506">
        <v>28</v>
      </c>
      <c r="Q33" s="341">
        <v>8516.4</v>
      </c>
      <c r="R33" s="341">
        <v>14.6</v>
      </c>
      <c r="S33" s="342">
        <f t="shared" si="17"/>
        <v>8559</v>
      </c>
      <c r="T33" s="342"/>
      <c r="U33" s="282">
        <f t="shared" si="18"/>
        <v>8559</v>
      </c>
      <c r="V33" s="506">
        <v>27</v>
      </c>
      <c r="W33" s="341">
        <v>17824</v>
      </c>
      <c r="X33" s="341">
        <v>40</v>
      </c>
      <c r="Y33" s="342">
        <f t="shared" si="19"/>
        <v>17891</v>
      </c>
      <c r="Z33" s="342"/>
      <c r="AA33" s="282">
        <f t="shared" si="20"/>
        <v>17891</v>
      </c>
      <c r="AB33" s="283">
        <f t="shared" si="12"/>
        <v>1.1250786064645957</v>
      </c>
      <c r="AC33" s="4"/>
      <c r="AD33" s="4"/>
    </row>
    <row r="34" spans="1:30" x14ac:dyDescent="0.25">
      <c r="A34" s="4"/>
      <c r="B34" s="284" t="s">
        <v>30</v>
      </c>
      <c r="C34" s="349" t="s">
        <v>21</v>
      </c>
      <c r="D34" s="345">
        <v>0.2</v>
      </c>
      <c r="E34" s="341">
        <v>676.9</v>
      </c>
      <c r="F34" s="341"/>
      <c r="G34" s="342">
        <f t="shared" si="13"/>
        <v>677.1</v>
      </c>
      <c r="H34" s="342"/>
      <c r="I34" s="282">
        <f t="shared" si="14"/>
        <v>677.1</v>
      </c>
      <c r="J34" s="598"/>
      <c r="K34" s="487">
        <v>237</v>
      </c>
      <c r="L34" s="487"/>
      <c r="M34" s="599">
        <f>SUM(J34:L34)</f>
        <v>237</v>
      </c>
      <c r="N34" s="599"/>
      <c r="O34" s="558">
        <f t="shared" si="16"/>
        <v>237</v>
      </c>
      <c r="P34" s="346"/>
      <c r="Q34" s="341">
        <v>62.9</v>
      </c>
      <c r="R34" s="341"/>
      <c r="S34" s="342">
        <f t="shared" si="17"/>
        <v>62.9</v>
      </c>
      <c r="T34" s="342"/>
      <c r="U34" s="282">
        <f t="shared" si="18"/>
        <v>62.9</v>
      </c>
      <c r="V34" s="346"/>
      <c r="W34" s="341">
        <v>154.19999999999999</v>
      </c>
      <c r="X34" s="341"/>
      <c r="Y34" s="342">
        <f t="shared" si="19"/>
        <v>154.19999999999999</v>
      </c>
      <c r="Z34" s="342"/>
      <c r="AA34" s="282">
        <f t="shared" si="20"/>
        <v>154.19999999999999</v>
      </c>
      <c r="AB34" s="283">
        <f t="shared" si="12"/>
        <v>0.65063291139240498</v>
      </c>
      <c r="AC34" s="4"/>
      <c r="AD34" s="4"/>
    </row>
    <row r="35" spans="1:30" x14ac:dyDescent="0.25">
      <c r="A35" s="4"/>
      <c r="B35" s="284" t="s">
        <v>32</v>
      </c>
      <c r="C35" s="299" t="s">
        <v>23</v>
      </c>
      <c r="D35" s="345">
        <v>2.5</v>
      </c>
      <c r="E35" s="341">
        <v>5409.2</v>
      </c>
      <c r="F35" s="341"/>
      <c r="G35" s="342">
        <f t="shared" si="13"/>
        <v>5411.7</v>
      </c>
      <c r="H35" s="342"/>
      <c r="I35" s="282">
        <f t="shared" si="14"/>
        <v>5411.7</v>
      </c>
      <c r="J35" s="598">
        <v>7.4</v>
      </c>
      <c r="K35" s="487">
        <v>5354.4</v>
      </c>
      <c r="L35" s="487"/>
      <c r="M35" s="599">
        <f t="shared" si="15"/>
        <v>5361.7999999999993</v>
      </c>
      <c r="N35" s="599"/>
      <c r="O35" s="558">
        <f t="shared" si="16"/>
        <v>5361.7999999999993</v>
      </c>
      <c r="P35" s="346">
        <v>19.8</v>
      </c>
      <c r="Q35" s="341">
        <v>3080</v>
      </c>
      <c r="R35" s="341"/>
      <c r="S35" s="342">
        <f t="shared" si="17"/>
        <v>3099.8</v>
      </c>
      <c r="T35" s="342"/>
      <c r="U35" s="282">
        <f t="shared" si="18"/>
        <v>3099.8</v>
      </c>
      <c r="V35" s="346">
        <v>24.1</v>
      </c>
      <c r="W35" s="341">
        <v>6391.8</v>
      </c>
      <c r="X35" s="341"/>
      <c r="Y35" s="342">
        <f t="shared" si="19"/>
        <v>6415.9000000000005</v>
      </c>
      <c r="Z35" s="342"/>
      <c r="AA35" s="282">
        <f t="shared" si="20"/>
        <v>6415.9000000000005</v>
      </c>
      <c r="AB35" s="283">
        <f t="shared" si="12"/>
        <v>1.1965944272445823</v>
      </c>
      <c r="AC35" s="4"/>
      <c r="AD35" s="4"/>
    </row>
    <row r="36" spans="1:30" x14ac:dyDescent="0.25">
      <c r="A36" s="4"/>
      <c r="B36" s="284" t="s">
        <v>33</v>
      </c>
      <c r="C36" s="299" t="s">
        <v>25</v>
      </c>
      <c r="D36" s="341">
        <v>16.600000000000001</v>
      </c>
      <c r="E36" s="341"/>
      <c r="F36" s="341"/>
      <c r="G36" s="342">
        <f t="shared" si="13"/>
        <v>16.600000000000001</v>
      </c>
      <c r="H36" s="342"/>
      <c r="I36" s="282">
        <f t="shared" si="14"/>
        <v>16.600000000000001</v>
      </c>
      <c r="J36" s="598"/>
      <c r="K36" s="487"/>
      <c r="L36" s="487"/>
      <c r="M36" s="599">
        <f t="shared" si="15"/>
        <v>0</v>
      </c>
      <c r="N36" s="599"/>
      <c r="O36" s="558">
        <f t="shared" si="16"/>
        <v>0</v>
      </c>
      <c r="P36" s="343">
        <v>10.5</v>
      </c>
      <c r="Q36" s="341"/>
      <c r="R36" s="341"/>
      <c r="S36" s="342">
        <f t="shared" si="17"/>
        <v>10.5</v>
      </c>
      <c r="T36" s="342"/>
      <c r="U36" s="282">
        <f t="shared" si="18"/>
        <v>10.5</v>
      </c>
      <c r="V36" s="343">
        <v>16</v>
      </c>
      <c r="W36" s="341"/>
      <c r="X36" s="341"/>
      <c r="Y36" s="342">
        <f t="shared" si="19"/>
        <v>16</v>
      </c>
      <c r="Z36" s="342"/>
      <c r="AA36" s="282">
        <f t="shared" si="20"/>
        <v>16</v>
      </c>
      <c r="AB36" s="283" t="e">
        <f t="shared" si="12"/>
        <v>#DIV/0!</v>
      </c>
      <c r="AC36" s="4"/>
      <c r="AD36" s="4"/>
    </row>
    <row r="37" spans="1:30" x14ac:dyDescent="0.25">
      <c r="A37" s="4"/>
      <c r="B37" s="284" t="s">
        <v>34</v>
      </c>
      <c r="C37" s="299" t="s">
        <v>27</v>
      </c>
      <c r="D37" s="341">
        <v>456.4</v>
      </c>
      <c r="E37" s="341"/>
      <c r="F37" s="341"/>
      <c r="G37" s="342">
        <f>SUM(D37:F37)</f>
        <v>456.4</v>
      </c>
      <c r="H37" s="342"/>
      <c r="I37" s="282">
        <f t="shared" si="14"/>
        <v>456.4</v>
      </c>
      <c r="J37" s="598">
        <v>457.2</v>
      </c>
      <c r="K37" s="487"/>
      <c r="L37" s="487"/>
      <c r="M37" s="599">
        <f t="shared" si="15"/>
        <v>457.2</v>
      </c>
      <c r="N37" s="599"/>
      <c r="O37" s="558">
        <f t="shared" si="16"/>
        <v>457.2</v>
      </c>
      <c r="P37" s="343">
        <v>235.1</v>
      </c>
      <c r="Q37" s="341"/>
      <c r="R37" s="341"/>
      <c r="S37" s="342">
        <f t="shared" si="17"/>
        <v>235.1</v>
      </c>
      <c r="T37" s="342"/>
      <c r="U37" s="282">
        <f t="shared" si="18"/>
        <v>235.1</v>
      </c>
      <c r="V37" s="343">
        <v>457.2</v>
      </c>
      <c r="W37" s="341"/>
      <c r="X37" s="341"/>
      <c r="Y37" s="342">
        <f t="shared" si="19"/>
        <v>457.2</v>
      </c>
      <c r="Z37" s="342"/>
      <c r="AA37" s="282">
        <f t="shared" si="20"/>
        <v>457.2</v>
      </c>
      <c r="AB37" s="283">
        <f t="shared" si="12"/>
        <v>1</v>
      </c>
      <c r="AC37" s="4"/>
      <c r="AD37" s="4"/>
    </row>
    <row r="38" spans="1:30" ht="15.75" thickBot="1" x14ac:dyDescent="0.3">
      <c r="A38" s="4"/>
      <c r="B38" s="502" t="s">
        <v>35</v>
      </c>
      <c r="C38" s="350" t="s">
        <v>29</v>
      </c>
      <c r="D38" s="351">
        <v>42.9</v>
      </c>
      <c r="E38" s="351">
        <v>141.80000000000001</v>
      </c>
      <c r="F38" s="351">
        <v>185.1</v>
      </c>
      <c r="G38" s="342">
        <f t="shared" si="13"/>
        <v>369.8</v>
      </c>
      <c r="H38" s="352"/>
      <c r="I38" s="308">
        <f t="shared" si="14"/>
        <v>369.8</v>
      </c>
      <c r="J38" s="600">
        <v>277.10000000000002</v>
      </c>
      <c r="K38" s="601">
        <v>319.2</v>
      </c>
      <c r="L38" s="601">
        <v>150.69999999999999</v>
      </c>
      <c r="M38" s="602">
        <f t="shared" si="15"/>
        <v>747</v>
      </c>
      <c r="N38" s="602"/>
      <c r="O38" s="574">
        <f t="shared" si="16"/>
        <v>747</v>
      </c>
      <c r="P38" s="353">
        <v>123.3</v>
      </c>
      <c r="Q38" s="351">
        <v>105</v>
      </c>
      <c r="R38" s="351">
        <v>85</v>
      </c>
      <c r="S38" s="352">
        <f t="shared" si="17"/>
        <v>313.3</v>
      </c>
      <c r="T38" s="352"/>
      <c r="U38" s="308">
        <f t="shared" si="18"/>
        <v>313.3</v>
      </c>
      <c r="V38" s="353">
        <v>344.7</v>
      </c>
      <c r="W38" s="351">
        <v>210.3</v>
      </c>
      <c r="X38" s="351">
        <v>286.5</v>
      </c>
      <c r="Y38" s="352">
        <f t="shared" si="19"/>
        <v>841.5</v>
      </c>
      <c r="Z38" s="352"/>
      <c r="AA38" s="308">
        <f t="shared" si="20"/>
        <v>841.5</v>
      </c>
      <c r="AB38" s="309">
        <f t="shared" si="12"/>
        <v>1.1265060240963856</v>
      </c>
      <c r="AC38" s="4"/>
      <c r="AD38" s="4"/>
    </row>
    <row r="39" spans="1:30" ht="15.75" thickBot="1" x14ac:dyDescent="0.3">
      <c r="A39" s="4"/>
      <c r="B39" s="310" t="s">
        <v>48</v>
      </c>
      <c r="C39" s="354" t="s">
        <v>31</v>
      </c>
      <c r="D39" s="355">
        <f>SUM(D35:D38)+SUM(D28:D32)</f>
        <v>2588.4</v>
      </c>
      <c r="E39" s="355">
        <f>SUM(E35:E38)+SUM(E28:E32)</f>
        <v>22680.2</v>
      </c>
      <c r="F39" s="355">
        <f>SUM(F35:F38)+SUM(F28:F32)</f>
        <v>1220.9000000000001</v>
      </c>
      <c r="G39" s="356">
        <f>SUM(D39:F39)</f>
        <v>26489.500000000004</v>
      </c>
      <c r="H39" s="357">
        <f>SUM(H28:H32)+SUM(H35:H38)</f>
        <v>0</v>
      </c>
      <c r="I39" s="358">
        <f>SUM(I35:I38)+SUM(I28:I32)</f>
        <v>26489.5</v>
      </c>
      <c r="J39" s="603">
        <f>SUM(J35:J38)+SUM(J28:J32)</f>
        <v>3370</v>
      </c>
      <c r="K39" s="603">
        <f>SUM(K35:K38)+SUM(K28:K32)</f>
        <v>21752</v>
      </c>
      <c r="L39" s="603">
        <f>SUM(L35:L38)+SUM(L28:L32)</f>
        <v>1104.5</v>
      </c>
      <c r="M39" s="604">
        <f>SUM(J39:L39)</f>
        <v>26226.5</v>
      </c>
      <c r="N39" s="605">
        <f>SUM(N28:N32)+SUM(N35:N38)</f>
        <v>0</v>
      </c>
      <c r="O39" s="606">
        <f>SUM(O35:O38)+SUM(O28:O32)</f>
        <v>26226.5</v>
      </c>
      <c r="P39" s="355">
        <f>SUM(P35:P38)+SUM(P28:P32)</f>
        <v>1503.8</v>
      </c>
      <c r="Q39" s="355">
        <f>SUM(Q35:Q38)+SUM(Q28:Q32)</f>
        <v>11833.8</v>
      </c>
      <c r="R39" s="355">
        <f>SUM(R35:R38)+SUM(R28:R32)</f>
        <v>679.1</v>
      </c>
      <c r="S39" s="356">
        <f>SUM(P39:R39)</f>
        <v>14016.699999999999</v>
      </c>
      <c r="T39" s="357">
        <f>SUM(T28:T32)+SUM(T35:T38)</f>
        <v>0</v>
      </c>
      <c r="U39" s="358">
        <f>SUM(U35:U38)+SUM(U28:U32)</f>
        <v>14016.7</v>
      </c>
      <c r="V39" s="355">
        <f>SUM(V35:V38)+SUM(V28:V32)</f>
        <v>4502.8</v>
      </c>
      <c r="W39" s="355">
        <f>SUM(W35:W38)+SUM(W28:W32)</f>
        <v>24725.1</v>
      </c>
      <c r="X39" s="355">
        <f>SUM(X35:X38)+SUM(X28:X32)</f>
        <v>1292.5</v>
      </c>
      <c r="Y39" s="356">
        <f>SUM(V39:X39)</f>
        <v>30520.399999999998</v>
      </c>
      <c r="Z39" s="357">
        <f>SUM(Z28:Z32)+SUM(Z35:Z38)</f>
        <v>0</v>
      </c>
      <c r="AA39" s="358">
        <f>SUM(AA35:AA38)+SUM(AA28:AA32)</f>
        <v>30520.400000000001</v>
      </c>
      <c r="AB39" s="359">
        <f t="shared" si="12"/>
        <v>1.163723714563514</v>
      </c>
      <c r="AC39" s="4"/>
      <c r="AD39" s="4"/>
    </row>
    <row r="40" spans="1:30" ht="19.5" thickBot="1" x14ac:dyDescent="0.35">
      <c r="A40" s="4"/>
      <c r="B40" s="360" t="s">
        <v>49</v>
      </c>
      <c r="C40" s="361" t="s">
        <v>51</v>
      </c>
      <c r="D40" s="362">
        <f t="shared" ref="D40:AA40" si="21">D24-D39</f>
        <v>0</v>
      </c>
      <c r="E40" s="362">
        <f t="shared" si="21"/>
        <v>0</v>
      </c>
      <c r="F40" s="362">
        <f t="shared" si="21"/>
        <v>50.399999999999636</v>
      </c>
      <c r="G40" s="363">
        <f t="shared" si="21"/>
        <v>50.399999999997817</v>
      </c>
      <c r="H40" s="363">
        <f t="shared" si="21"/>
        <v>0</v>
      </c>
      <c r="I40" s="364">
        <f t="shared" si="21"/>
        <v>50.399999999997817</v>
      </c>
      <c r="J40" s="362">
        <f t="shared" si="21"/>
        <v>0</v>
      </c>
      <c r="K40" s="362">
        <f t="shared" si="21"/>
        <v>0</v>
      </c>
      <c r="L40" s="362">
        <f t="shared" si="21"/>
        <v>0</v>
      </c>
      <c r="M40" s="607">
        <f t="shared" si="21"/>
        <v>0</v>
      </c>
      <c r="N40" s="607">
        <f t="shared" si="21"/>
        <v>0</v>
      </c>
      <c r="O40" s="608">
        <f t="shared" si="21"/>
        <v>0</v>
      </c>
      <c r="P40" s="362">
        <f t="shared" si="21"/>
        <v>293.79999999999995</v>
      </c>
      <c r="Q40" s="362">
        <f t="shared" si="21"/>
        <v>0</v>
      </c>
      <c r="R40" s="362">
        <f t="shared" si="21"/>
        <v>51.299999999999955</v>
      </c>
      <c r="S40" s="363">
        <f t="shared" si="21"/>
        <v>345.10000000000036</v>
      </c>
      <c r="T40" s="363">
        <f t="shared" si="21"/>
        <v>0</v>
      </c>
      <c r="U40" s="364">
        <f t="shared" si="21"/>
        <v>345.09999999999854</v>
      </c>
      <c r="V40" s="362">
        <f t="shared" si="21"/>
        <v>657142.19999999995</v>
      </c>
      <c r="W40" s="362">
        <f t="shared" si="21"/>
        <v>0</v>
      </c>
      <c r="X40" s="362">
        <f t="shared" si="21"/>
        <v>0</v>
      </c>
      <c r="Y40" s="363">
        <f t="shared" si="21"/>
        <v>657142.19999999995</v>
      </c>
      <c r="Z40" s="363">
        <f t="shared" si="21"/>
        <v>0</v>
      </c>
      <c r="AA40" s="364">
        <f t="shared" si="21"/>
        <v>657142.19999999995</v>
      </c>
      <c r="AB40" s="365"/>
      <c r="AC40" s="4"/>
      <c r="AD40" s="4"/>
    </row>
    <row r="41" spans="1:30" ht="15.75" thickBot="1" x14ac:dyDescent="0.3">
      <c r="A41" s="4"/>
      <c r="B41" s="366" t="s">
        <v>50</v>
      </c>
      <c r="C41" s="367" t="s">
        <v>65</v>
      </c>
      <c r="D41" s="368"/>
      <c r="E41" s="369"/>
      <c r="F41" s="369"/>
      <c r="G41" s="370"/>
      <c r="H41" s="371"/>
      <c r="I41" s="372">
        <f>I40-D16</f>
        <v>-2324.6000000000022</v>
      </c>
      <c r="J41" s="368"/>
      <c r="K41" s="369"/>
      <c r="L41" s="369"/>
      <c r="M41" s="370"/>
      <c r="N41" s="373"/>
      <c r="O41" s="372">
        <f>O40-J16</f>
        <v>-3245</v>
      </c>
      <c r="P41" s="368"/>
      <c r="Q41" s="369"/>
      <c r="R41" s="369"/>
      <c r="S41" s="370"/>
      <c r="T41" s="373"/>
      <c r="U41" s="372">
        <f>U40-P16</f>
        <v>-1277.5000000000014</v>
      </c>
      <c r="V41" s="368"/>
      <c r="W41" s="369"/>
      <c r="X41" s="369"/>
      <c r="Y41" s="370"/>
      <c r="Z41" s="373"/>
      <c r="AA41" s="372">
        <f>AA40-V16</f>
        <v>653297.19999999995</v>
      </c>
      <c r="AB41" s="283">
        <f t="shared" si="12"/>
        <v>-201.32425269645609</v>
      </c>
      <c r="AC41" s="4"/>
      <c r="AD41" s="4"/>
    </row>
    <row r="42" spans="1:30" ht="8.25" customHeight="1" thickBot="1" x14ac:dyDescent="0.3">
      <c r="A42" s="4"/>
      <c r="B42" s="374"/>
      <c r="C42" s="375"/>
      <c r="D42" s="376"/>
      <c r="E42" s="377"/>
      <c r="F42" s="377"/>
      <c r="G42" s="4"/>
      <c r="H42" s="377"/>
      <c r="I42" s="377"/>
      <c r="J42" s="376"/>
      <c r="K42" s="377"/>
      <c r="L42" s="377"/>
      <c r="M42" s="4"/>
      <c r="N42" s="377"/>
      <c r="O42" s="377"/>
      <c r="P42" s="377"/>
      <c r="Q42" s="377"/>
      <c r="R42" s="377"/>
      <c r="S42" s="377"/>
      <c r="T42" s="377"/>
      <c r="U42" s="377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thickBot="1" x14ac:dyDescent="0.3">
      <c r="A43" s="4"/>
      <c r="B43" s="374"/>
      <c r="C43" s="378" t="s">
        <v>82</v>
      </c>
      <c r="D43" s="106" t="s">
        <v>41</v>
      </c>
      <c r="E43" s="379" t="s">
        <v>83</v>
      </c>
      <c r="F43" s="380" t="s">
        <v>36</v>
      </c>
      <c r="G43" s="377"/>
      <c r="H43" s="377"/>
      <c r="I43" s="381"/>
      <c r="J43" s="106" t="s">
        <v>41</v>
      </c>
      <c r="K43" s="379" t="s">
        <v>83</v>
      </c>
      <c r="L43" s="380" t="s">
        <v>36</v>
      </c>
      <c r="M43" s="377"/>
      <c r="N43" s="377"/>
      <c r="O43" s="377"/>
      <c r="P43" s="106" t="s">
        <v>41</v>
      </c>
      <c r="Q43" s="379" t="s">
        <v>83</v>
      </c>
      <c r="R43" s="380" t="s">
        <v>36</v>
      </c>
      <c r="S43" s="4"/>
      <c r="T43" s="4"/>
      <c r="U43" s="4"/>
      <c r="V43" s="106" t="s">
        <v>41</v>
      </c>
      <c r="W43" s="379" t="s">
        <v>83</v>
      </c>
      <c r="X43" s="380" t="s">
        <v>36</v>
      </c>
      <c r="Y43" s="4"/>
      <c r="Z43" s="4"/>
      <c r="AA43" s="4"/>
      <c r="AB43" s="4"/>
      <c r="AC43" s="4"/>
      <c r="AD43" s="4"/>
    </row>
    <row r="44" spans="1:30" ht="15.75" thickBot="1" x14ac:dyDescent="0.3">
      <c r="A44" s="4"/>
      <c r="B44" s="374"/>
      <c r="C44" s="382"/>
      <c r="D44" s="383">
        <v>267.39999999999998</v>
      </c>
      <c r="E44" s="384">
        <v>267.39999999999998</v>
      </c>
      <c r="F44" s="385">
        <v>0</v>
      </c>
      <c r="G44" s="377"/>
      <c r="H44" s="377"/>
      <c r="I44" s="381"/>
      <c r="J44" s="383">
        <v>267.39999999999998</v>
      </c>
      <c r="K44" s="384">
        <v>267.39999999999998</v>
      </c>
      <c r="L44" s="385">
        <v>0</v>
      </c>
      <c r="M44" s="386"/>
      <c r="N44" s="386"/>
      <c r="O44" s="386"/>
      <c r="P44" s="383">
        <v>133.5</v>
      </c>
      <c r="Q44" s="384">
        <v>133.5</v>
      </c>
      <c r="R44" s="385">
        <v>0</v>
      </c>
      <c r="S44" s="4"/>
      <c r="T44" s="4"/>
      <c r="U44" s="4"/>
      <c r="V44" s="383">
        <v>267.39999999999998</v>
      </c>
      <c r="W44" s="384">
        <v>267.39999999999998</v>
      </c>
      <c r="X44" s="385">
        <v>0</v>
      </c>
      <c r="Y44" s="4"/>
      <c r="Z44" s="4"/>
      <c r="AA44" s="4"/>
      <c r="AB44" s="4"/>
      <c r="AC44" s="4"/>
      <c r="AD44" s="4"/>
    </row>
    <row r="45" spans="1:30" ht="8.25" customHeight="1" thickBot="1" x14ac:dyDescent="0.3">
      <c r="A45" s="4"/>
      <c r="B45" s="374"/>
      <c r="C45" s="375"/>
      <c r="D45" s="386"/>
      <c r="E45" s="377"/>
      <c r="F45" s="377"/>
      <c r="G45" s="377"/>
      <c r="H45" s="377"/>
      <c r="I45" s="381"/>
      <c r="J45" s="377"/>
      <c r="K45" s="377"/>
      <c r="L45" s="377"/>
      <c r="M45" s="377"/>
      <c r="N45" s="377"/>
      <c r="O45" s="381"/>
      <c r="P45" s="381"/>
      <c r="Q45" s="381"/>
      <c r="R45" s="381"/>
      <c r="S45" s="381"/>
      <c r="T45" s="381"/>
      <c r="U45" s="381"/>
      <c r="V45" s="4"/>
      <c r="W45" s="4"/>
      <c r="X45" s="4"/>
      <c r="Y45" s="4"/>
      <c r="Z45" s="4"/>
      <c r="AA45" s="4"/>
      <c r="AB45" s="4"/>
      <c r="AC45" s="4"/>
      <c r="AD45" s="4"/>
    </row>
    <row r="46" spans="1:30" ht="37.5" customHeight="1" thickBot="1" x14ac:dyDescent="0.3">
      <c r="A46" s="4"/>
      <c r="B46" s="374"/>
      <c r="C46" s="378" t="s">
        <v>85</v>
      </c>
      <c r="D46" s="95" t="s">
        <v>86</v>
      </c>
      <c r="E46" s="387" t="s">
        <v>84</v>
      </c>
      <c r="F46" s="377"/>
      <c r="G46" s="377"/>
      <c r="H46" s="377"/>
      <c r="I46" s="381"/>
      <c r="J46" s="95" t="s">
        <v>86</v>
      </c>
      <c r="K46" s="387" t="s">
        <v>84</v>
      </c>
      <c r="L46" s="388"/>
      <c r="M46" s="388"/>
      <c r="N46" s="4"/>
      <c r="O46" s="4"/>
      <c r="P46" s="95" t="s">
        <v>86</v>
      </c>
      <c r="Q46" s="387" t="s">
        <v>84</v>
      </c>
      <c r="R46" s="4"/>
      <c r="S46" s="4"/>
      <c r="T46" s="4"/>
      <c r="U46" s="4"/>
      <c r="V46" s="95" t="s">
        <v>86</v>
      </c>
      <c r="W46" s="387" t="s">
        <v>84</v>
      </c>
      <c r="X46" s="4"/>
      <c r="Y46" s="4"/>
      <c r="Z46" s="4"/>
      <c r="AA46" s="4"/>
      <c r="AB46" s="4"/>
      <c r="AC46" s="4"/>
      <c r="AD46" s="4"/>
    </row>
    <row r="47" spans="1:30" ht="15.75" thickBot="1" x14ac:dyDescent="0.3">
      <c r="A47" s="4"/>
      <c r="B47" s="389"/>
      <c r="C47" s="390"/>
      <c r="D47" s="383">
        <v>383.9</v>
      </c>
      <c r="E47" s="391">
        <v>150</v>
      </c>
      <c r="F47" s="377"/>
      <c r="G47" s="377"/>
      <c r="H47" s="377"/>
      <c r="I47" s="381"/>
      <c r="J47" s="383">
        <v>0</v>
      </c>
      <c r="K47" s="391">
        <v>0</v>
      </c>
      <c r="L47" s="392"/>
      <c r="M47" s="392"/>
      <c r="N47" s="4"/>
      <c r="O47" s="4"/>
      <c r="P47" s="383">
        <v>0</v>
      </c>
      <c r="Q47" s="391">
        <v>150</v>
      </c>
      <c r="R47" s="4"/>
      <c r="S47" s="4"/>
      <c r="T47" s="4"/>
      <c r="U47" s="4"/>
      <c r="V47" s="383">
        <v>0</v>
      </c>
      <c r="W47" s="391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4"/>
      <c r="B48" s="389"/>
      <c r="C48" s="375"/>
      <c r="D48" s="377"/>
      <c r="E48" s="377"/>
      <c r="F48" s="377"/>
      <c r="G48" s="377"/>
      <c r="H48" s="377"/>
      <c r="I48" s="381"/>
      <c r="J48" s="377"/>
      <c r="K48" s="377"/>
      <c r="L48" s="377"/>
      <c r="M48" s="377"/>
      <c r="N48" s="377"/>
      <c r="O48" s="381"/>
      <c r="P48" s="381"/>
      <c r="Q48" s="381"/>
      <c r="R48" s="381"/>
      <c r="S48" s="381"/>
      <c r="T48" s="381"/>
      <c r="U48" s="381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4"/>
      <c r="B49" s="389"/>
      <c r="C49" s="393" t="s">
        <v>81</v>
      </c>
      <c r="D49" s="394" t="s">
        <v>72</v>
      </c>
      <c r="E49" s="394" t="s">
        <v>73</v>
      </c>
      <c r="F49" s="394" t="s">
        <v>91</v>
      </c>
      <c r="G49" s="394" t="s">
        <v>93</v>
      </c>
      <c r="H49" s="377"/>
      <c r="I49" s="4"/>
      <c r="J49" s="394" t="s">
        <v>72</v>
      </c>
      <c r="K49" s="394" t="s">
        <v>73</v>
      </c>
      <c r="L49" s="394" t="s">
        <v>91</v>
      </c>
      <c r="M49" s="394" t="s">
        <v>94</v>
      </c>
      <c r="N49" s="4"/>
      <c r="O49" s="4"/>
      <c r="P49" s="394" t="s">
        <v>72</v>
      </c>
      <c r="Q49" s="394" t="s">
        <v>73</v>
      </c>
      <c r="R49" s="394" t="s">
        <v>91</v>
      </c>
      <c r="S49" s="394" t="s">
        <v>94</v>
      </c>
      <c r="T49" s="4"/>
      <c r="U49" s="4"/>
      <c r="V49" s="394" t="s">
        <v>95</v>
      </c>
      <c r="W49" s="394" t="s">
        <v>73</v>
      </c>
      <c r="X49" s="394" t="s">
        <v>91</v>
      </c>
      <c r="Y49" s="394" t="s">
        <v>94</v>
      </c>
      <c r="Z49" s="4"/>
      <c r="AA49" s="4"/>
      <c r="AB49" s="4"/>
      <c r="AC49" s="4"/>
      <c r="AD49" s="4"/>
    </row>
    <row r="50" spans="1:30" x14ac:dyDescent="0.25">
      <c r="A50" s="4"/>
      <c r="B50" s="389"/>
      <c r="C50" s="395" t="s">
        <v>117</v>
      </c>
      <c r="D50" s="396"/>
      <c r="E50" s="396"/>
      <c r="F50" s="396"/>
      <c r="G50" s="397">
        <f>D50+E50-F50</f>
        <v>0</v>
      </c>
      <c r="H50" s="377"/>
      <c r="I50" s="4"/>
      <c r="J50" s="397"/>
      <c r="K50" s="396"/>
      <c r="L50" s="396"/>
      <c r="M50" s="397">
        <f>J50+K50-L50</f>
        <v>0</v>
      </c>
      <c r="N50" s="4"/>
      <c r="O50" s="4"/>
      <c r="P50" s="396"/>
      <c r="Q50" s="396"/>
      <c r="R50" s="396"/>
      <c r="S50" s="397">
        <f>P50+Q50-R50</f>
        <v>0</v>
      </c>
      <c r="T50" s="4"/>
      <c r="U50" s="4"/>
      <c r="V50" s="396"/>
      <c r="W50" s="396"/>
      <c r="X50" s="396"/>
      <c r="Y50" s="397">
        <f>V50+W50-X50</f>
        <v>0</v>
      </c>
      <c r="Z50" s="4"/>
      <c r="AA50" s="4"/>
      <c r="AB50" s="4"/>
      <c r="AC50" s="4"/>
      <c r="AD50" s="4"/>
    </row>
    <row r="51" spans="1:30" x14ac:dyDescent="0.25">
      <c r="A51" s="4"/>
      <c r="B51" s="389"/>
      <c r="C51" s="395" t="s">
        <v>70</v>
      </c>
      <c r="D51" s="396">
        <v>354.1</v>
      </c>
      <c r="E51" s="396">
        <v>161.6</v>
      </c>
      <c r="F51" s="396">
        <v>311.5</v>
      </c>
      <c r="G51" s="397">
        <f t="shared" ref="G51:G54" si="22">D51+E51-F51</f>
        <v>204.20000000000005</v>
      </c>
      <c r="H51" s="377"/>
      <c r="I51" s="4"/>
      <c r="J51" s="397">
        <v>191.1</v>
      </c>
      <c r="K51" s="396"/>
      <c r="L51" s="396"/>
      <c r="M51" s="397">
        <f t="shared" ref="M51:M54" si="23">J51+K51-L51</f>
        <v>191.1</v>
      </c>
      <c r="N51" s="4"/>
      <c r="O51" s="4"/>
      <c r="P51" s="396">
        <v>204.2</v>
      </c>
      <c r="Q51" s="396">
        <v>57.3</v>
      </c>
      <c r="R51" s="396">
        <v>36.6</v>
      </c>
      <c r="S51" s="397">
        <f t="shared" ref="S51:S54" si="24">P51+Q51-R51</f>
        <v>224.9</v>
      </c>
      <c r="T51" s="4"/>
      <c r="U51" s="4"/>
      <c r="V51" s="396">
        <v>224.9</v>
      </c>
      <c r="W51" s="396"/>
      <c r="X51" s="396"/>
      <c r="Y51" s="397">
        <f t="shared" ref="Y51:Y54" si="25">V51+W51-X51</f>
        <v>224.9</v>
      </c>
      <c r="Z51" s="4"/>
      <c r="AA51" s="4"/>
      <c r="AB51" s="4"/>
      <c r="AC51" s="4"/>
      <c r="AD51" s="4"/>
    </row>
    <row r="52" spans="1:30" x14ac:dyDescent="0.25">
      <c r="A52" s="4"/>
      <c r="B52" s="389"/>
      <c r="C52" s="395" t="s">
        <v>71</v>
      </c>
      <c r="D52" s="396">
        <v>71.099999999999994</v>
      </c>
      <c r="E52" s="396">
        <v>437.9</v>
      </c>
      <c r="F52" s="396">
        <v>267.39999999999998</v>
      </c>
      <c r="G52" s="397">
        <f t="shared" si="22"/>
        <v>241.60000000000002</v>
      </c>
      <c r="H52" s="377"/>
      <c r="I52" s="4"/>
      <c r="J52" s="397">
        <v>156.4</v>
      </c>
      <c r="K52" s="396">
        <v>457.2</v>
      </c>
      <c r="L52" s="396">
        <v>267.39999999999998</v>
      </c>
      <c r="M52" s="397">
        <f t="shared" si="23"/>
        <v>346.20000000000005</v>
      </c>
      <c r="N52" s="4"/>
      <c r="O52" s="4"/>
      <c r="P52" s="396">
        <v>241.6</v>
      </c>
      <c r="Q52" s="396">
        <v>235.1</v>
      </c>
      <c r="R52" s="396">
        <v>133.5</v>
      </c>
      <c r="S52" s="397">
        <f t="shared" si="24"/>
        <v>343.2</v>
      </c>
      <c r="T52" s="4"/>
      <c r="U52" s="4"/>
      <c r="V52" s="396">
        <v>343.2</v>
      </c>
      <c r="W52" s="396">
        <v>457.2</v>
      </c>
      <c r="X52" s="396">
        <v>267.39999999999998</v>
      </c>
      <c r="Y52" s="397">
        <f t="shared" si="25"/>
        <v>533</v>
      </c>
      <c r="Z52" s="4"/>
      <c r="AA52" s="4"/>
      <c r="AB52" s="4"/>
      <c r="AC52" s="4"/>
      <c r="AD52" s="4"/>
    </row>
    <row r="53" spans="1:30" x14ac:dyDescent="0.25">
      <c r="A53" s="4"/>
      <c r="B53" s="389"/>
      <c r="C53" s="395" t="s">
        <v>88</v>
      </c>
      <c r="D53" s="396">
        <v>179.4</v>
      </c>
      <c r="E53" s="396">
        <v>2.1</v>
      </c>
      <c r="F53" s="396">
        <v>0</v>
      </c>
      <c r="G53" s="397">
        <f t="shared" si="22"/>
        <v>181.5</v>
      </c>
      <c r="H53" s="377"/>
      <c r="I53" s="4"/>
      <c r="J53" s="397">
        <v>181.5</v>
      </c>
      <c r="K53" s="396"/>
      <c r="L53" s="396"/>
      <c r="M53" s="397">
        <f t="shared" si="23"/>
        <v>181.5</v>
      </c>
      <c r="N53" s="4"/>
      <c r="O53" s="4"/>
      <c r="P53" s="396">
        <v>181.5</v>
      </c>
      <c r="Q53" s="396">
        <v>10.1</v>
      </c>
      <c r="R53" s="396"/>
      <c r="S53" s="397">
        <f t="shared" si="24"/>
        <v>191.6</v>
      </c>
      <c r="T53" s="4"/>
      <c r="U53" s="4"/>
      <c r="V53" s="396">
        <v>191.6</v>
      </c>
      <c r="W53" s="396"/>
      <c r="X53" s="396"/>
      <c r="Y53" s="397">
        <f t="shared" si="25"/>
        <v>191.6</v>
      </c>
      <c r="Z53" s="4"/>
      <c r="AA53" s="4"/>
      <c r="AB53" s="4"/>
      <c r="AC53" s="4"/>
      <c r="AD53" s="4"/>
    </row>
    <row r="54" spans="1:30" x14ac:dyDescent="0.25">
      <c r="A54" s="4"/>
      <c r="B54" s="389"/>
      <c r="C54" s="398" t="s">
        <v>89</v>
      </c>
      <c r="D54" s="396">
        <v>174.3</v>
      </c>
      <c r="E54" s="396">
        <v>326.8</v>
      </c>
      <c r="F54" s="396">
        <v>349.3</v>
      </c>
      <c r="G54" s="397">
        <f t="shared" si="22"/>
        <v>151.80000000000001</v>
      </c>
      <c r="H54" s="377"/>
      <c r="I54" s="4"/>
      <c r="J54" s="397">
        <v>163.6</v>
      </c>
      <c r="K54" s="396">
        <v>316</v>
      </c>
      <c r="L54" s="396">
        <v>316</v>
      </c>
      <c r="M54" s="397">
        <f t="shared" si="23"/>
        <v>163.60000000000002</v>
      </c>
      <c r="N54" s="4"/>
      <c r="O54" s="4"/>
      <c r="P54" s="396">
        <v>151.80000000000001</v>
      </c>
      <c r="Q54" s="396">
        <v>171.4</v>
      </c>
      <c r="R54" s="396">
        <v>181.1</v>
      </c>
      <c r="S54" s="397">
        <f t="shared" si="24"/>
        <v>142.10000000000005</v>
      </c>
      <c r="T54" s="4"/>
      <c r="U54" s="4"/>
      <c r="V54" s="396">
        <v>142.1</v>
      </c>
      <c r="W54" s="396">
        <v>356.4</v>
      </c>
      <c r="X54" s="396">
        <v>356.4</v>
      </c>
      <c r="Y54" s="397">
        <f t="shared" si="25"/>
        <v>142.10000000000002</v>
      </c>
      <c r="Z54" s="4"/>
      <c r="AA54" s="4"/>
      <c r="AB54" s="4"/>
      <c r="AC54" s="4"/>
      <c r="AD54" s="4"/>
    </row>
    <row r="55" spans="1:30" ht="10.5" customHeight="1" x14ac:dyDescent="0.25">
      <c r="A55" s="4"/>
      <c r="B55" s="389"/>
      <c r="C55" s="375"/>
      <c r="D55" s="377"/>
      <c r="E55" s="377"/>
      <c r="F55" s="377"/>
      <c r="G55" s="377"/>
      <c r="H55" s="37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4"/>
      <c r="B56" s="389"/>
      <c r="C56" s="393" t="s">
        <v>74</v>
      </c>
      <c r="D56" s="394" t="s">
        <v>75</v>
      </c>
      <c r="E56" s="394" t="s">
        <v>96</v>
      </c>
      <c r="F56" s="377"/>
      <c r="G56" s="377"/>
      <c r="H56" s="377"/>
      <c r="I56" s="381"/>
      <c r="J56" s="394" t="s">
        <v>97</v>
      </c>
      <c r="K56" s="377"/>
      <c r="L56" s="377"/>
      <c r="M56" s="377"/>
      <c r="N56" s="377"/>
      <c r="O56" s="381"/>
      <c r="P56" s="394" t="s">
        <v>98</v>
      </c>
      <c r="Q56" s="381"/>
      <c r="R56" s="381"/>
      <c r="S56" s="381"/>
      <c r="T56" s="381"/>
      <c r="U56" s="381"/>
      <c r="V56" s="394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4"/>
      <c r="B57" s="389"/>
      <c r="C57" s="395"/>
      <c r="D57" s="399">
        <v>37.1</v>
      </c>
      <c r="E57" s="399">
        <v>39.700000000000003</v>
      </c>
      <c r="F57" s="377"/>
      <c r="G57" s="377"/>
      <c r="H57" s="377"/>
      <c r="I57" s="381"/>
      <c r="J57" s="399">
        <v>40.4</v>
      </c>
      <c r="K57" s="377"/>
      <c r="L57" s="377"/>
      <c r="M57" s="377"/>
      <c r="N57" s="377"/>
      <c r="O57" s="381"/>
      <c r="P57" s="399">
        <v>40.6</v>
      </c>
      <c r="Q57" s="381"/>
      <c r="R57" s="381"/>
      <c r="S57" s="381"/>
      <c r="T57" s="381"/>
      <c r="U57" s="381"/>
      <c r="V57" s="399">
        <v>40.6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4"/>
      <c r="B58" s="389"/>
      <c r="C58" s="375"/>
      <c r="D58" s="377"/>
      <c r="E58" s="377"/>
      <c r="F58" s="377"/>
      <c r="G58" s="377"/>
      <c r="H58" s="377"/>
      <c r="I58" s="381"/>
      <c r="J58" s="377"/>
      <c r="K58" s="377"/>
      <c r="L58" s="377"/>
      <c r="M58" s="377"/>
      <c r="N58" s="377"/>
      <c r="O58" s="381"/>
      <c r="P58" s="381"/>
      <c r="Q58" s="381"/>
      <c r="R58" s="381"/>
      <c r="S58" s="381"/>
      <c r="T58" s="381"/>
      <c r="U58" s="381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4"/>
      <c r="B59" s="400" t="s">
        <v>92</v>
      </c>
      <c r="C59" s="401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3"/>
      <c r="W59" s="403"/>
      <c r="X59" s="403"/>
      <c r="Y59" s="403"/>
      <c r="Z59" s="403"/>
      <c r="AA59" s="403"/>
      <c r="AB59" s="404"/>
      <c r="AC59" s="4"/>
      <c r="AD59" s="4"/>
    </row>
    <row r="60" spans="1:30" x14ac:dyDescent="0.25">
      <c r="A60" s="4"/>
      <c r="B60" s="504" t="s">
        <v>206</v>
      </c>
      <c r="M60"/>
      <c r="AB60" s="407"/>
      <c r="AC60" s="4"/>
      <c r="AD60" s="4"/>
    </row>
    <row r="61" spans="1:30" x14ac:dyDescent="0.25">
      <c r="A61" s="4"/>
      <c r="B61" s="408" t="s">
        <v>207</v>
      </c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09"/>
      <c r="AB61" s="407"/>
      <c r="AC61" s="4"/>
      <c r="AD61" s="4"/>
    </row>
    <row r="62" spans="1:30" x14ac:dyDescent="0.25">
      <c r="A62" s="4"/>
      <c r="B62" s="408"/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09"/>
      <c r="AB62" s="407"/>
      <c r="AC62" s="4"/>
      <c r="AD62" s="4"/>
    </row>
    <row r="63" spans="1:30" x14ac:dyDescent="0.25">
      <c r="A63" s="4"/>
      <c r="B63" s="408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AB63" s="407"/>
      <c r="AC63" s="4"/>
      <c r="AD63" s="4"/>
    </row>
    <row r="64" spans="1:30" x14ac:dyDescent="0.25">
      <c r="A64" s="4"/>
      <c r="B64" s="41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AB64" s="407"/>
      <c r="AC64" s="4"/>
      <c r="AD64" s="4"/>
    </row>
    <row r="65" spans="1:30" x14ac:dyDescent="0.25">
      <c r="A65" s="4"/>
      <c r="B65" s="41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AB65" s="407"/>
      <c r="AC65" s="4"/>
      <c r="AD65" s="4"/>
    </row>
    <row r="66" spans="1:30" x14ac:dyDescent="0.25">
      <c r="A66" s="4"/>
      <c r="B66" s="41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AB66" s="407"/>
      <c r="AC66" s="4"/>
      <c r="AD66" s="4"/>
    </row>
    <row r="67" spans="1:30" x14ac:dyDescent="0.25">
      <c r="A67" s="4"/>
      <c r="B67" s="41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AB67" s="407"/>
      <c r="AC67" s="4"/>
      <c r="AD67" s="4"/>
    </row>
    <row r="68" spans="1:30" x14ac:dyDescent="0.25">
      <c r="A68" s="4"/>
      <c r="B68" s="41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AB68" s="407"/>
      <c r="AC68" s="4"/>
      <c r="AD68" s="4"/>
    </row>
    <row r="69" spans="1:30" x14ac:dyDescent="0.25">
      <c r="A69" s="4"/>
      <c r="B69" s="41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AB69" s="407"/>
      <c r="AC69" s="4"/>
      <c r="AD69" s="4"/>
    </row>
    <row r="70" spans="1:30" x14ac:dyDescent="0.25">
      <c r="A70" s="4"/>
      <c r="B70" s="41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AB70" s="407"/>
      <c r="AC70" s="4"/>
      <c r="AD70" s="4"/>
    </row>
    <row r="71" spans="1:30" x14ac:dyDescent="0.25">
      <c r="A71" s="4"/>
      <c r="B71" s="41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AB71" s="407"/>
      <c r="AC71" s="4"/>
      <c r="AD71" s="4"/>
    </row>
    <row r="72" spans="1:30" x14ac:dyDescent="0.25">
      <c r="A72" s="4"/>
      <c r="B72" s="41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AB72" s="407"/>
      <c r="AC72" s="4"/>
      <c r="AD72" s="4"/>
    </row>
    <row r="73" spans="1:30" x14ac:dyDescent="0.25">
      <c r="A73" s="4"/>
      <c r="B73" s="41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AB73" s="407"/>
      <c r="AC73" s="4"/>
      <c r="AD73" s="4"/>
    </row>
    <row r="74" spans="1:30" x14ac:dyDescent="0.25">
      <c r="A74" s="4"/>
      <c r="B74" s="41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AB74" s="407"/>
      <c r="AC74" s="4"/>
      <c r="AD74" s="4"/>
    </row>
    <row r="75" spans="1:30" x14ac:dyDescent="0.25">
      <c r="A75" s="4"/>
      <c r="B75" s="41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AB75" s="407"/>
      <c r="AC75" s="4"/>
      <c r="AD75" s="4"/>
    </row>
    <row r="76" spans="1:30" x14ac:dyDescent="0.25">
      <c r="A76" s="4"/>
      <c r="B76" s="41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AB76" s="407"/>
      <c r="AC76" s="4"/>
      <c r="AD76" s="4"/>
    </row>
    <row r="77" spans="1:30" x14ac:dyDescent="0.25">
      <c r="A77" s="4"/>
      <c r="B77" s="41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AB77" s="407"/>
      <c r="AC77" s="4"/>
      <c r="AD77" s="4"/>
    </row>
    <row r="78" spans="1:30" x14ac:dyDescent="0.25">
      <c r="A78" s="4"/>
      <c r="B78" s="41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AB78" s="407"/>
      <c r="AC78" s="4"/>
      <c r="AD78" s="4"/>
    </row>
    <row r="79" spans="1:30" x14ac:dyDescent="0.25">
      <c r="A79" s="4"/>
      <c r="B79" s="41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AB79" s="407"/>
      <c r="AC79" s="4"/>
      <c r="AD79" s="4"/>
    </row>
    <row r="80" spans="1:30" x14ac:dyDescent="0.25">
      <c r="A80" s="4"/>
      <c r="B80" s="41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AB80" s="407"/>
      <c r="AC80" s="4"/>
      <c r="AD80" s="4"/>
    </row>
    <row r="81" spans="1:30" x14ac:dyDescent="0.25">
      <c r="A81" s="4"/>
      <c r="B81" s="41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AB81" s="407"/>
      <c r="AC81" s="4"/>
      <c r="AD81" s="4"/>
    </row>
    <row r="82" spans="1:30" x14ac:dyDescent="0.25">
      <c r="A82" s="4"/>
      <c r="B82" s="408"/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AB82" s="407"/>
      <c r="AC82" s="4"/>
      <c r="AD82" s="4"/>
    </row>
    <row r="83" spans="1:30" x14ac:dyDescent="0.25">
      <c r="A83" s="4"/>
      <c r="B83" s="411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AB83" s="407"/>
      <c r="AC83" s="4"/>
      <c r="AD83" s="4"/>
    </row>
    <row r="84" spans="1:30" x14ac:dyDescent="0.25">
      <c r="A84" s="4"/>
      <c r="B84" s="411"/>
      <c r="C84" s="412"/>
      <c r="D84" s="412"/>
      <c r="E84" s="412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AB84" s="407"/>
      <c r="AC84" s="4"/>
      <c r="AD84" s="4"/>
    </row>
    <row r="85" spans="1:30" x14ac:dyDescent="0.25">
      <c r="A85" s="4"/>
      <c r="B85" s="411"/>
      <c r="C85" s="413"/>
      <c r="D85" s="412"/>
      <c r="E85" s="412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AB85" s="407"/>
      <c r="AC85" s="4"/>
      <c r="AD85" s="4"/>
    </row>
    <row r="86" spans="1:30" x14ac:dyDescent="0.25">
      <c r="A86" s="4"/>
      <c r="B86" s="411"/>
      <c r="C86" s="413"/>
      <c r="D86" s="412"/>
      <c r="E86" s="412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AB86" s="407"/>
      <c r="AC86" s="4"/>
      <c r="AD86" s="4"/>
    </row>
    <row r="87" spans="1:30" x14ac:dyDescent="0.25">
      <c r="A87" s="4"/>
      <c r="B87" s="414"/>
      <c r="C87" s="415"/>
      <c r="D87" s="416"/>
      <c r="E87" s="416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06"/>
      <c r="W87" s="406"/>
      <c r="X87" s="406"/>
      <c r="Y87" s="406"/>
      <c r="Z87" s="406"/>
      <c r="AA87" s="406"/>
      <c r="AB87" s="418"/>
      <c r="AC87" s="4"/>
      <c r="AD87" s="4"/>
    </row>
    <row r="88" spans="1:30" x14ac:dyDescent="0.25">
      <c r="A88" s="4"/>
      <c r="B88" s="419"/>
      <c r="C88" s="420"/>
      <c r="D88" s="419"/>
      <c r="E88" s="419"/>
      <c r="F88" s="421"/>
      <c r="G88" s="421"/>
      <c r="H88" s="421"/>
      <c r="I88" s="421"/>
      <c r="J88" s="421"/>
      <c r="K88" s="421"/>
      <c r="L88" s="421"/>
      <c r="M88" s="421"/>
      <c r="N88" s="421"/>
      <c r="O88" s="421"/>
      <c r="P88" s="421"/>
      <c r="Q88" s="421"/>
      <c r="R88" s="421"/>
      <c r="S88" s="421"/>
      <c r="T88" s="421"/>
      <c r="U88" s="421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4"/>
      <c r="B89" s="419"/>
      <c r="C89" s="420"/>
      <c r="D89" s="419"/>
      <c r="E89" s="419"/>
      <c r="F89" s="421"/>
      <c r="G89" s="421"/>
      <c r="H89" s="421"/>
      <c r="I89" s="421"/>
      <c r="J89" s="421"/>
      <c r="K89" s="421"/>
      <c r="L89" s="421"/>
      <c r="M89" s="421"/>
      <c r="N89" s="421"/>
      <c r="O89" s="421"/>
      <c r="P89" s="421"/>
      <c r="Q89" s="421"/>
      <c r="R89" s="421"/>
      <c r="S89" s="421"/>
      <c r="T89" s="421"/>
      <c r="U89" s="421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4"/>
      <c r="B90" s="422"/>
      <c r="C90" s="422"/>
      <c r="D90" s="422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4"/>
      <c r="B91" s="422" t="s">
        <v>80</v>
      </c>
      <c r="C91" s="423">
        <v>45209</v>
      </c>
      <c r="D91" s="422" t="s">
        <v>76</v>
      </c>
      <c r="E91" s="409" t="s">
        <v>208</v>
      </c>
      <c r="F91" s="409"/>
      <c r="G91" s="409"/>
      <c r="H91" s="422"/>
      <c r="I91" s="422" t="s">
        <v>77</v>
      </c>
      <c r="J91" s="424" t="s">
        <v>209</v>
      </c>
      <c r="K91" s="424"/>
      <c r="L91" s="424"/>
      <c r="M91" s="424"/>
      <c r="N91" s="422"/>
      <c r="O91" s="422"/>
      <c r="P91" s="422"/>
      <c r="Q91" s="422"/>
      <c r="R91" s="422"/>
      <c r="S91" s="422"/>
      <c r="T91" s="422"/>
      <c r="U91" s="422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4"/>
      <c r="B92" s="422"/>
      <c r="C92" s="422"/>
      <c r="D92" s="422"/>
      <c r="E92" s="422"/>
      <c r="F92" s="422"/>
      <c r="G92" s="422"/>
      <c r="H92" s="422"/>
      <c r="I92" s="422"/>
      <c r="J92" s="422"/>
      <c r="K92" s="422"/>
      <c r="L92" s="422"/>
      <c r="M92" s="422"/>
      <c r="N92" s="422"/>
      <c r="O92" s="422"/>
      <c r="P92" s="422"/>
      <c r="Q92" s="422"/>
      <c r="R92" s="422"/>
      <c r="S92" s="422"/>
      <c r="T92" s="422"/>
      <c r="U92" s="422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4"/>
      <c r="B93" s="422"/>
      <c r="C93" s="422"/>
      <c r="D93" s="422" t="s">
        <v>79</v>
      </c>
      <c r="E93" s="425"/>
      <c r="F93" s="425"/>
      <c r="G93" s="425"/>
      <c r="H93" s="422"/>
      <c r="I93" s="422" t="s">
        <v>79</v>
      </c>
      <c r="J93" s="426"/>
      <c r="K93" s="426"/>
      <c r="L93" s="426"/>
      <c r="M93" s="426"/>
      <c r="N93" s="422"/>
      <c r="O93" s="422"/>
      <c r="P93" s="422"/>
      <c r="Q93" s="422"/>
      <c r="R93" s="422"/>
      <c r="S93" s="422"/>
      <c r="T93" s="422"/>
      <c r="U93" s="422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4"/>
      <c r="B94" s="422"/>
      <c r="C94" s="422"/>
      <c r="D94" s="422"/>
      <c r="E94" s="425"/>
      <c r="F94" s="425"/>
      <c r="G94" s="425"/>
      <c r="H94" s="422"/>
      <c r="I94" s="422"/>
      <c r="J94" s="426"/>
      <c r="K94" s="426"/>
      <c r="L94" s="426"/>
      <c r="M94" s="426"/>
      <c r="N94" s="422"/>
      <c r="O94" s="422"/>
      <c r="P94" s="422"/>
      <c r="Q94" s="422"/>
      <c r="R94" s="422"/>
      <c r="S94" s="422"/>
      <c r="T94" s="422"/>
      <c r="U94" s="422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4"/>
      <c r="B95" s="422"/>
      <c r="C95" s="422"/>
      <c r="D95" s="422"/>
      <c r="E95" s="422"/>
      <c r="F95" s="422"/>
      <c r="G95" s="422"/>
      <c r="H95" s="422"/>
      <c r="I95" s="422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4"/>
      <c r="B96" s="422"/>
      <c r="C96" s="422"/>
      <c r="D96" s="422"/>
      <c r="E96" s="422"/>
      <c r="F96" s="422"/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"/>
      <c r="W96" s="4"/>
      <c r="X96" s="4"/>
      <c r="Y96" s="4"/>
      <c r="Z96" s="4"/>
      <c r="AA96" s="4"/>
      <c r="AB96" s="4"/>
      <c r="AC96" s="4"/>
      <c r="AD96" s="4"/>
    </row>
    <row r="113" ht="15" hidden="1" customHeight="1" x14ac:dyDescent="0.25"/>
    <row r="127" ht="15" hidden="1" customHeight="1" x14ac:dyDescent="0.25"/>
    <row r="128" ht="15" hidden="1" customHeight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5" priority="3" operator="equal">
      <formula>0</formula>
    </cfRule>
    <cfRule type="containsErrors" dxfId="34" priority="4">
      <formula>ISERROR(AB15)</formula>
    </cfRule>
  </conditionalFormatting>
  <conditionalFormatting sqref="AB28:AB41">
    <cfRule type="cellIs" dxfId="33" priority="1" operator="equal">
      <formula>0</formula>
    </cfRule>
    <cfRule type="containsErrors" dxfId="32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view="pageBreakPreview" zoomScale="80" zoomScaleNormal="80" zoomScaleSheetLayoutView="80" workbookViewId="0">
      <selection activeCell="O31" sqref="O3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127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72744260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429" t="s">
        <v>128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9397</v>
      </c>
      <c r="G15" s="63">
        <f>SUM(D15:F15)</f>
        <v>9397</v>
      </c>
      <c r="H15" s="66">
        <v>10.5</v>
      </c>
      <c r="I15" s="14">
        <f>G15+H15</f>
        <v>9407.5</v>
      </c>
      <c r="J15" s="430"/>
      <c r="K15" s="431"/>
      <c r="L15" s="432">
        <v>9500</v>
      </c>
      <c r="M15" s="433">
        <f t="shared" ref="M15:M23" si="0">SUM(J15:L15)</f>
        <v>9500</v>
      </c>
      <c r="N15" s="434">
        <v>0</v>
      </c>
      <c r="O15" s="435">
        <f>M15+N15</f>
        <v>9500</v>
      </c>
      <c r="P15" s="12"/>
      <c r="Q15" s="13"/>
      <c r="R15" s="436">
        <v>5835.9</v>
      </c>
      <c r="S15" s="63">
        <f>SUM(P15:R15)</f>
        <v>5835.9</v>
      </c>
      <c r="T15" s="66">
        <v>0</v>
      </c>
      <c r="U15" s="14">
        <f>S15+T15</f>
        <v>5835.9</v>
      </c>
      <c r="V15" s="12"/>
      <c r="W15" s="13"/>
      <c r="X15" s="56">
        <v>11528.1</v>
      </c>
      <c r="Y15" s="63">
        <f>SUM(V15:X15)</f>
        <v>11528.1</v>
      </c>
      <c r="Z15" s="66">
        <v>0</v>
      </c>
      <c r="AA15" s="14">
        <f>Y15+Z15</f>
        <v>11528.1</v>
      </c>
      <c r="AB15" s="147">
        <f>(AA15/O15)</f>
        <v>1.2134842105263157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14066.5</v>
      </c>
      <c r="E16" s="16"/>
      <c r="F16" s="16"/>
      <c r="G16" s="64">
        <f t="shared" ref="G16:G23" si="1">SUM(D16:F16)</f>
        <v>14066.5</v>
      </c>
      <c r="H16" s="67"/>
      <c r="I16" s="14">
        <f t="shared" ref="I16:I23" si="2">G16+H16</f>
        <v>14066.5</v>
      </c>
      <c r="J16" s="437">
        <v>16313.3</v>
      </c>
      <c r="K16" s="438"/>
      <c r="L16" s="438"/>
      <c r="M16" s="439">
        <f t="shared" si="0"/>
        <v>16313.3</v>
      </c>
      <c r="N16" s="440"/>
      <c r="O16" s="435">
        <f t="shared" ref="O16:O20" si="3">M16+N16</f>
        <v>16313.3</v>
      </c>
      <c r="P16" s="57">
        <v>8156.9</v>
      </c>
      <c r="Q16" s="441"/>
      <c r="R16" s="16"/>
      <c r="S16" s="64">
        <f t="shared" ref="S16:S23" si="4">SUM(P16:R16)</f>
        <v>8156.9</v>
      </c>
      <c r="T16" s="67"/>
      <c r="U16" s="14">
        <f t="shared" ref="U16:U20" si="5">S16+T16</f>
        <v>8156.9</v>
      </c>
      <c r="V16" s="57">
        <v>14974</v>
      </c>
      <c r="W16" s="16"/>
      <c r="X16" s="16"/>
      <c r="Y16" s="64">
        <f t="shared" ref="Y16:Y23" si="6">SUM(V16:X16)</f>
        <v>14974</v>
      </c>
      <c r="Z16" s="67"/>
      <c r="AA16" s="14">
        <f t="shared" ref="AA16:AA20" si="7">Y16+Z16</f>
        <v>14974</v>
      </c>
      <c r="AB16" s="147">
        <f t="shared" ref="AB16:AB24" si="8">(AA16/O16)</f>
        <v>0.91790134430188863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>
        <v>773.4</v>
      </c>
      <c r="E17" s="17"/>
      <c r="F17" s="17"/>
      <c r="G17" s="64">
        <f t="shared" si="1"/>
        <v>773.4</v>
      </c>
      <c r="H17" s="68"/>
      <c r="I17" s="14">
        <f t="shared" si="2"/>
        <v>773.4</v>
      </c>
      <c r="J17" s="442">
        <v>271.7</v>
      </c>
      <c r="K17" s="443"/>
      <c r="L17" s="443"/>
      <c r="M17" s="439">
        <f t="shared" si="0"/>
        <v>271.7</v>
      </c>
      <c r="N17" s="444"/>
      <c r="O17" s="435">
        <f t="shared" si="3"/>
        <v>271.7</v>
      </c>
      <c r="P17" s="58">
        <v>97.5</v>
      </c>
      <c r="Q17" s="17"/>
      <c r="R17" s="17"/>
      <c r="S17" s="64">
        <f t="shared" si="4"/>
        <v>97.5</v>
      </c>
      <c r="T17" s="68"/>
      <c r="U17" s="14">
        <f t="shared" si="5"/>
        <v>97.5</v>
      </c>
      <c r="V17" s="58">
        <f>SUM(143900+120800)/1000</f>
        <v>264.7</v>
      </c>
      <c r="W17" s="17"/>
      <c r="X17" s="17"/>
      <c r="Y17" s="64">
        <f t="shared" si="6"/>
        <v>264.7</v>
      </c>
      <c r="Z17" s="68"/>
      <c r="AA17" s="14">
        <f t="shared" si="7"/>
        <v>264.7</v>
      </c>
      <c r="AB17" s="147">
        <f t="shared" si="8"/>
        <v>0.97423629002576373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117156</v>
      </c>
      <c r="F18" s="17"/>
      <c r="G18" s="64">
        <f t="shared" si="1"/>
        <v>117156</v>
      </c>
      <c r="H18" s="66">
        <v>0</v>
      </c>
      <c r="I18" s="14">
        <f t="shared" si="2"/>
        <v>117156</v>
      </c>
      <c r="J18" s="445"/>
      <c r="K18" s="446">
        <v>114000</v>
      </c>
      <c r="L18" s="443"/>
      <c r="M18" s="439">
        <f t="shared" si="0"/>
        <v>114000</v>
      </c>
      <c r="N18" s="434">
        <v>0</v>
      </c>
      <c r="O18" s="435">
        <f t="shared" si="3"/>
        <v>114000</v>
      </c>
      <c r="P18" s="18"/>
      <c r="Q18" s="59">
        <v>61029.5</v>
      </c>
      <c r="R18" s="17"/>
      <c r="S18" s="64">
        <f t="shared" si="4"/>
        <v>61029.5</v>
      </c>
      <c r="T18" s="66">
        <v>0</v>
      </c>
      <c r="U18" s="14">
        <f t="shared" si="5"/>
        <v>61029.5</v>
      </c>
      <c r="V18" s="18"/>
      <c r="W18" s="59">
        <v>121751</v>
      </c>
      <c r="X18" s="17"/>
      <c r="Y18" s="64">
        <f t="shared" si="6"/>
        <v>121751</v>
      </c>
      <c r="Z18" s="66">
        <v>0</v>
      </c>
      <c r="AA18" s="14">
        <f t="shared" si="7"/>
        <v>121751</v>
      </c>
      <c r="AB18" s="147">
        <f t="shared" si="8"/>
        <v>1.0679912280701755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446.5</v>
      </c>
      <c r="G19" s="64">
        <f t="shared" si="1"/>
        <v>446.5</v>
      </c>
      <c r="H19" s="69">
        <v>0</v>
      </c>
      <c r="I19" s="14">
        <f t="shared" si="2"/>
        <v>446.5</v>
      </c>
      <c r="J19" s="447"/>
      <c r="K19" s="443"/>
      <c r="L19" s="448">
        <v>275</v>
      </c>
      <c r="M19" s="439">
        <f t="shared" si="0"/>
        <v>275</v>
      </c>
      <c r="N19" s="449">
        <v>0</v>
      </c>
      <c r="O19" s="435">
        <f t="shared" si="3"/>
        <v>275</v>
      </c>
      <c r="P19" s="19"/>
      <c r="Q19" s="17"/>
      <c r="R19" s="60">
        <v>186</v>
      </c>
      <c r="S19" s="64">
        <f t="shared" si="4"/>
        <v>186</v>
      </c>
      <c r="T19" s="69">
        <v>0</v>
      </c>
      <c r="U19" s="14">
        <f t="shared" si="5"/>
        <v>186</v>
      </c>
      <c r="V19" s="19"/>
      <c r="W19" s="17"/>
      <c r="X19" s="60">
        <v>16.2</v>
      </c>
      <c r="Y19" s="64">
        <f t="shared" si="6"/>
        <v>16.2</v>
      </c>
      <c r="Z19" s="69">
        <v>0</v>
      </c>
      <c r="AA19" s="14">
        <f t="shared" si="7"/>
        <v>16.2</v>
      </c>
      <c r="AB19" s="147">
        <f t="shared" si="8"/>
        <v>5.8909090909090904E-2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>
        <v>238.2</v>
      </c>
      <c r="G20" s="64">
        <f>SUM(F20)</f>
        <v>238.2</v>
      </c>
      <c r="H20" s="69">
        <v>0</v>
      </c>
      <c r="I20" s="14">
        <f t="shared" si="2"/>
        <v>238.2</v>
      </c>
      <c r="J20" s="445"/>
      <c r="K20" s="438"/>
      <c r="L20" s="450">
        <v>200</v>
      </c>
      <c r="M20" s="439">
        <f t="shared" si="0"/>
        <v>200</v>
      </c>
      <c r="N20" s="449">
        <v>0</v>
      </c>
      <c r="O20" s="435">
        <f t="shared" si="3"/>
        <v>200</v>
      </c>
      <c r="P20" s="18"/>
      <c r="Q20" s="16"/>
      <c r="R20" s="61">
        <v>103</v>
      </c>
      <c r="S20" s="64">
        <f t="shared" si="4"/>
        <v>103</v>
      </c>
      <c r="T20" s="69">
        <v>0</v>
      </c>
      <c r="U20" s="14">
        <f t="shared" si="5"/>
        <v>103</v>
      </c>
      <c r="V20" s="18"/>
      <c r="W20" s="16"/>
      <c r="X20" s="61">
        <v>100</v>
      </c>
      <c r="Y20" s="64">
        <f t="shared" si="6"/>
        <v>100</v>
      </c>
      <c r="Z20" s="69">
        <v>0</v>
      </c>
      <c r="AA20" s="14">
        <f t="shared" si="7"/>
        <v>100</v>
      </c>
      <c r="AB20" s="147">
        <f t="shared" si="8"/>
        <v>0.5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655.5</v>
      </c>
      <c r="G21" s="64">
        <f t="shared" si="1"/>
        <v>655.5</v>
      </c>
      <c r="H21" s="70">
        <v>56.6</v>
      </c>
      <c r="I21" s="14">
        <f>G21+H21</f>
        <v>712.1</v>
      </c>
      <c r="J21" s="445"/>
      <c r="K21" s="438"/>
      <c r="L21" s="450">
        <v>350</v>
      </c>
      <c r="M21" s="439">
        <f t="shared" si="0"/>
        <v>350</v>
      </c>
      <c r="N21" s="451">
        <v>100</v>
      </c>
      <c r="O21" s="435">
        <f>M21+N21</f>
        <v>450</v>
      </c>
      <c r="P21" s="18"/>
      <c r="Q21" s="16"/>
      <c r="R21" s="61">
        <v>357.2</v>
      </c>
      <c r="S21" s="64">
        <f t="shared" si="4"/>
        <v>357.2</v>
      </c>
      <c r="T21" s="70">
        <v>44.3</v>
      </c>
      <c r="U21" s="14">
        <f>S21+T21</f>
        <v>401.5</v>
      </c>
      <c r="V21" s="18"/>
      <c r="W21" s="16"/>
      <c r="X21" s="61">
        <v>720.6</v>
      </c>
      <c r="Y21" s="64">
        <f t="shared" si="6"/>
        <v>720.6</v>
      </c>
      <c r="Z21" s="70">
        <v>47</v>
      </c>
      <c r="AA21" s="14">
        <f>Y21+Z21</f>
        <v>767.6</v>
      </c>
      <c r="AB21" s="147">
        <f t="shared" si="8"/>
        <v>1.7057777777777778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>
        <v>0</v>
      </c>
      <c r="G22" s="64">
        <f t="shared" si="1"/>
        <v>0</v>
      </c>
      <c r="H22" s="70">
        <v>0</v>
      </c>
      <c r="I22" s="14">
        <f t="shared" si="2"/>
        <v>0</v>
      </c>
      <c r="J22" s="445"/>
      <c r="K22" s="438"/>
      <c r="L22" s="450"/>
      <c r="M22" s="439">
        <f t="shared" si="0"/>
        <v>0</v>
      </c>
      <c r="N22" s="451">
        <v>0</v>
      </c>
      <c r="O22" s="435">
        <f t="shared" ref="O22:O23" si="9">M22+N22</f>
        <v>0</v>
      </c>
      <c r="P22" s="18"/>
      <c r="Q22" s="16"/>
      <c r="R22" s="61">
        <v>0</v>
      </c>
      <c r="S22" s="64">
        <f t="shared" si="4"/>
        <v>0</v>
      </c>
      <c r="T22" s="70">
        <v>0</v>
      </c>
      <c r="U22" s="14">
        <f t="shared" ref="U22:U23" si="10">S22+T22</f>
        <v>0</v>
      </c>
      <c r="V22" s="18"/>
      <c r="W22" s="16"/>
      <c r="X22" s="61">
        <v>0</v>
      </c>
      <c r="Y22" s="64">
        <f t="shared" si="6"/>
        <v>0</v>
      </c>
      <c r="Z22" s="70">
        <v>0</v>
      </c>
      <c r="AA22" s="14">
        <f t="shared" ref="AA22:AA23" si="11">Y22+Z22</f>
        <v>0</v>
      </c>
      <c r="AB22" s="147" t="e">
        <f t="shared" si="8"/>
        <v>#DIV/0!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>
        <v>5</v>
      </c>
      <c r="G23" s="65">
        <f t="shared" si="1"/>
        <v>5</v>
      </c>
      <c r="H23" s="71">
        <v>0</v>
      </c>
      <c r="I23" s="23">
        <f t="shared" si="2"/>
        <v>5</v>
      </c>
      <c r="J23" s="452"/>
      <c r="K23" s="453"/>
      <c r="L23" s="454"/>
      <c r="M23" s="455">
        <f t="shared" si="0"/>
        <v>0</v>
      </c>
      <c r="N23" s="456">
        <v>0</v>
      </c>
      <c r="O23" s="457">
        <f t="shared" si="9"/>
        <v>0</v>
      </c>
      <c r="P23" s="21"/>
      <c r="Q23" s="22"/>
      <c r="R23" s="62">
        <v>0</v>
      </c>
      <c r="S23" s="65">
        <f t="shared" si="4"/>
        <v>0</v>
      </c>
      <c r="T23" s="71">
        <v>0</v>
      </c>
      <c r="U23" s="23">
        <f t="shared" si="10"/>
        <v>0</v>
      </c>
      <c r="V23" s="21"/>
      <c r="W23" s="22"/>
      <c r="X23" s="62">
        <v>0</v>
      </c>
      <c r="Y23" s="65">
        <f t="shared" si="6"/>
        <v>0</v>
      </c>
      <c r="Z23" s="71">
        <v>0</v>
      </c>
      <c r="AA23" s="23">
        <f t="shared" si="11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14839.9</v>
      </c>
      <c r="E24" s="27">
        <f>SUM(E15:E21)</f>
        <v>117156</v>
      </c>
      <c r="F24" s="27">
        <f>SUM(F15:F21)</f>
        <v>10737.2</v>
      </c>
      <c r="G24" s="28">
        <f>SUM(D24:F24)</f>
        <v>142733.1</v>
      </c>
      <c r="H24" s="29">
        <f>SUM(H15:H23)</f>
        <v>67.099999999999994</v>
      </c>
      <c r="I24" s="29">
        <f>SUM(I15:I21)</f>
        <v>142800.20000000001</v>
      </c>
      <c r="J24" s="458">
        <f>SUM(J15:J21)</f>
        <v>16585</v>
      </c>
      <c r="K24" s="459">
        <f>SUM(K15:K21)</f>
        <v>114000</v>
      </c>
      <c r="L24" s="459">
        <f>SUM(L15:L21)</f>
        <v>10325</v>
      </c>
      <c r="M24" s="460">
        <f>SUM(J24:L24)</f>
        <v>140910</v>
      </c>
      <c r="N24" s="461">
        <f>SUM(N15:N23)</f>
        <v>100</v>
      </c>
      <c r="O24" s="461">
        <f>SUM(O15:O21)</f>
        <v>141010</v>
      </c>
      <c r="P24" s="26">
        <f>SUM(P15:P21)</f>
        <v>8254.4</v>
      </c>
      <c r="Q24" s="27">
        <f>SUM(Q15:Q21)</f>
        <v>61029.5</v>
      </c>
      <c r="R24" s="27">
        <f>SUM(R15:R21)</f>
        <v>6482.0999999999995</v>
      </c>
      <c r="S24" s="28">
        <f>SUM(P24:R24)</f>
        <v>75766</v>
      </c>
      <c r="T24" s="29">
        <f>SUM(T15:T23)</f>
        <v>44.3</v>
      </c>
      <c r="U24" s="29">
        <f>SUM(U15:U21)</f>
        <v>75810.3</v>
      </c>
      <c r="V24" s="26">
        <f>SUM(V15:V21)</f>
        <v>15238.7</v>
      </c>
      <c r="W24" s="27">
        <f>SUM(W15:W21)</f>
        <v>121751</v>
      </c>
      <c r="X24" s="27">
        <f>SUM(X15:X21)</f>
        <v>12364.900000000001</v>
      </c>
      <c r="Y24" s="28">
        <f>SUM(V24:X24)</f>
        <v>149354.6</v>
      </c>
      <c r="Z24" s="29">
        <f>SUM(Z15:Z23)</f>
        <v>47</v>
      </c>
      <c r="AA24" s="29">
        <f>SUM(AA15:AA21)</f>
        <v>149401.60000000001</v>
      </c>
      <c r="AB24" s="151">
        <f t="shared" si="8"/>
        <v>1.0595106730019148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462" t="s">
        <v>68</v>
      </c>
      <c r="K25" s="463"/>
      <c r="L25" s="463"/>
      <c r="M25" s="464"/>
      <c r="N25" s="464"/>
      <c r="O25" s="46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466" t="s">
        <v>69</v>
      </c>
      <c r="K26" s="467"/>
      <c r="L26" s="467"/>
      <c r="M26" s="468" t="s">
        <v>64</v>
      </c>
      <c r="N26" s="469" t="s">
        <v>67</v>
      </c>
      <c r="O26" s="470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471" t="s">
        <v>54</v>
      </c>
      <c r="K27" s="472" t="s">
        <v>55</v>
      </c>
      <c r="L27" s="473" t="s">
        <v>56</v>
      </c>
      <c r="M27" s="474"/>
      <c r="N27" s="475"/>
      <c r="O27" s="47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1273</v>
      </c>
      <c r="E28" s="72">
        <v>0</v>
      </c>
      <c r="F28" s="72">
        <v>718.3</v>
      </c>
      <c r="G28" s="73">
        <f>SUM(D28:F28)</f>
        <v>1991.3</v>
      </c>
      <c r="H28" s="73">
        <v>0</v>
      </c>
      <c r="I28" s="37">
        <f>G28+H28</f>
        <v>1991.3</v>
      </c>
      <c r="J28" s="477">
        <v>600</v>
      </c>
      <c r="K28" s="478">
        <v>0</v>
      </c>
      <c r="L28" s="478">
        <v>1100</v>
      </c>
      <c r="M28" s="479">
        <f>SUM(J28:L28)</f>
        <v>1700</v>
      </c>
      <c r="N28" s="479">
        <v>0</v>
      </c>
      <c r="O28" s="480">
        <f>M28+N28</f>
        <v>1700</v>
      </c>
      <c r="P28" s="80">
        <v>363.8</v>
      </c>
      <c r="Q28" s="72">
        <v>0</v>
      </c>
      <c r="R28" s="72">
        <v>75</v>
      </c>
      <c r="S28" s="73">
        <f>SUM(P28:R28)</f>
        <v>438.8</v>
      </c>
      <c r="T28" s="73">
        <v>0</v>
      </c>
      <c r="U28" s="37">
        <f>S28+T28</f>
        <v>438.8</v>
      </c>
      <c r="V28" s="80">
        <v>1195</v>
      </c>
      <c r="W28" s="72">
        <v>0</v>
      </c>
      <c r="X28" s="72">
        <v>887</v>
      </c>
      <c r="Y28" s="73">
        <f>SUM(V28:X28)</f>
        <v>2082</v>
      </c>
      <c r="Z28" s="73">
        <v>0</v>
      </c>
      <c r="AA28" s="37">
        <f>Y28+Z28</f>
        <v>2082</v>
      </c>
      <c r="AB28" s="147">
        <f t="shared" ref="AB28:AB41" si="12">(AA28/O28)</f>
        <v>1.2247058823529411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481">
        <v>669.8</v>
      </c>
      <c r="E29" s="74">
        <v>897.8</v>
      </c>
      <c r="F29" s="74">
        <v>7677.7</v>
      </c>
      <c r="G29" s="75">
        <f t="shared" ref="G29:G38" si="13">SUM(D29:F29)</f>
        <v>9245.2999999999993</v>
      </c>
      <c r="H29" s="76">
        <v>0</v>
      </c>
      <c r="I29" s="14">
        <f t="shared" ref="I29:I38" si="14">G29+H29</f>
        <v>9245.2999999999993</v>
      </c>
      <c r="J29" s="482">
        <v>647.70000000000005</v>
      </c>
      <c r="K29" s="483">
        <v>0</v>
      </c>
      <c r="L29" s="483">
        <v>7680</v>
      </c>
      <c r="M29" s="484">
        <f t="shared" ref="M29:M38" si="15">SUM(J29:L29)</f>
        <v>8327.7000000000007</v>
      </c>
      <c r="N29" s="485">
        <v>0</v>
      </c>
      <c r="O29" s="435">
        <f t="shared" ref="O29:O38" si="16">M29+N29</f>
        <v>8327.7000000000007</v>
      </c>
      <c r="P29" s="81">
        <v>371.1</v>
      </c>
      <c r="Q29" s="74">
        <v>10.8</v>
      </c>
      <c r="R29" s="74">
        <v>4911.8</v>
      </c>
      <c r="S29" s="75">
        <f t="shared" ref="S29:S38" si="17">SUM(P29:R29)</f>
        <v>5293.7</v>
      </c>
      <c r="T29" s="76">
        <v>0</v>
      </c>
      <c r="U29" s="14">
        <f t="shared" ref="U29:U38" si="18">S29+T29</f>
        <v>5293.7</v>
      </c>
      <c r="V29" s="81">
        <v>725</v>
      </c>
      <c r="W29" s="74">
        <v>101</v>
      </c>
      <c r="X29" s="74">
        <v>9760.5</v>
      </c>
      <c r="Y29" s="75">
        <f t="shared" ref="Y29:Y38" si="19">SUM(V29:X29)</f>
        <v>10586.5</v>
      </c>
      <c r="Z29" s="76">
        <v>0</v>
      </c>
      <c r="AA29" s="14">
        <f t="shared" ref="AA29:AA38" si="20">Y29+Z29</f>
        <v>10586.5</v>
      </c>
      <c r="AB29" s="147">
        <f t="shared" si="12"/>
        <v>1.2712393578058767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7768.2</v>
      </c>
      <c r="E30" s="77">
        <v>0</v>
      </c>
      <c r="F30" s="77">
        <v>0</v>
      </c>
      <c r="G30" s="75">
        <f t="shared" si="13"/>
        <v>7768.2</v>
      </c>
      <c r="H30" s="75">
        <v>0</v>
      </c>
      <c r="I30" s="14">
        <f t="shared" si="14"/>
        <v>7768.2</v>
      </c>
      <c r="J30" s="486">
        <v>10316.299999999999</v>
      </c>
      <c r="K30" s="487">
        <v>0</v>
      </c>
      <c r="L30" s="488">
        <v>0</v>
      </c>
      <c r="M30" s="484">
        <f t="shared" si="15"/>
        <v>10316.299999999999</v>
      </c>
      <c r="N30" s="484">
        <v>0</v>
      </c>
      <c r="O30" s="435">
        <f t="shared" si="16"/>
        <v>10316.299999999999</v>
      </c>
      <c r="P30" s="82">
        <v>4595.8</v>
      </c>
      <c r="Q30" s="77">
        <v>0</v>
      </c>
      <c r="R30" s="77">
        <v>0</v>
      </c>
      <c r="S30" s="75">
        <f t="shared" si="17"/>
        <v>4595.8</v>
      </c>
      <c r="T30" s="75">
        <v>0</v>
      </c>
      <c r="U30" s="14">
        <f t="shared" si="18"/>
        <v>4595.8</v>
      </c>
      <c r="V30" s="82">
        <v>8610</v>
      </c>
      <c r="W30" s="77">
        <v>0</v>
      </c>
      <c r="X30" s="77">
        <v>0</v>
      </c>
      <c r="Y30" s="75">
        <f t="shared" si="19"/>
        <v>8610</v>
      </c>
      <c r="Z30" s="75">
        <v>0</v>
      </c>
      <c r="AA30" s="14">
        <f t="shared" si="20"/>
        <v>8610</v>
      </c>
      <c r="AB30" s="147">
        <f t="shared" si="12"/>
        <v>0.83460155288233195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1711.7</v>
      </c>
      <c r="E31" s="77">
        <f>SUM(150.7+125.1)</f>
        <v>275.79999999999995</v>
      </c>
      <c r="F31" s="77">
        <f>SUM(514.1+30.8)</f>
        <v>544.9</v>
      </c>
      <c r="G31" s="75">
        <f t="shared" si="13"/>
        <v>2532.4</v>
      </c>
      <c r="H31" s="75">
        <v>0</v>
      </c>
      <c r="I31" s="14">
        <f t="shared" si="14"/>
        <v>2532.4</v>
      </c>
      <c r="J31" s="486">
        <v>1400</v>
      </c>
      <c r="K31" s="488">
        <v>100</v>
      </c>
      <c r="L31" s="488">
        <v>970</v>
      </c>
      <c r="M31" s="484">
        <f t="shared" si="15"/>
        <v>2470</v>
      </c>
      <c r="N31" s="484">
        <v>0</v>
      </c>
      <c r="O31" s="435">
        <f t="shared" si="16"/>
        <v>2470</v>
      </c>
      <c r="P31" s="82">
        <v>1113.8</v>
      </c>
      <c r="Q31" s="77">
        <v>15</v>
      </c>
      <c r="R31" s="77">
        <v>300.3</v>
      </c>
      <c r="S31" s="75">
        <f t="shared" si="17"/>
        <v>1429.1</v>
      </c>
      <c r="T31" s="75">
        <v>0</v>
      </c>
      <c r="U31" s="14">
        <f t="shared" si="18"/>
        <v>1429.1</v>
      </c>
      <c r="V31" s="82">
        <v>2385.6</v>
      </c>
      <c r="W31" s="77">
        <v>16.5</v>
      </c>
      <c r="X31" s="77">
        <v>458.5</v>
      </c>
      <c r="Y31" s="75">
        <f t="shared" si="19"/>
        <v>2860.6</v>
      </c>
      <c r="Z31" s="75">
        <v>0</v>
      </c>
      <c r="AA31" s="14">
        <f t="shared" si="20"/>
        <v>2860.6</v>
      </c>
      <c r="AB31" s="147">
        <f t="shared" si="12"/>
        <v>1.1581376518218622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7">
        <v>1115.2</v>
      </c>
      <c r="E32" s="77">
        <f>SUM(83071.2+1751.9)</f>
        <v>84823.099999999991</v>
      </c>
      <c r="F32" s="77">
        <v>89.5</v>
      </c>
      <c r="G32" s="75">
        <f t="shared" si="13"/>
        <v>86027.799999999988</v>
      </c>
      <c r="H32" s="75">
        <v>0</v>
      </c>
      <c r="I32" s="14">
        <f t="shared" si="14"/>
        <v>86027.799999999988</v>
      </c>
      <c r="J32" s="486">
        <v>1115</v>
      </c>
      <c r="K32" s="488">
        <v>83140</v>
      </c>
      <c r="L32" s="488">
        <v>0</v>
      </c>
      <c r="M32" s="484">
        <f t="shared" si="15"/>
        <v>84255</v>
      </c>
      <c r="N32" s="484">
        <v>0</v>
      </c>
      <c r="O32" s="435">
        <f t="shared" si="16"/>
        <v>84255</v>
      </c>
      <c r="P32" s="83">
        <v>612.1</v>
      </c>
      <c r="Q32" s="77">
        <v>44782.7</v>
      </c>
      <c r="R32" s="77">
        <v>0</v>
      </c>
      <c r="S32" s="75">
        <f t="shared" si="17"/>
        <v>45394.799999999996</v>
      </c>
      <c r="T32" s="75">
        <v>0</v>
      </c>
      <c r="U32" s="14">
        <f t="shared" si="18"/>
        <v>45394.799999999996</v>
      </c>
      <c r="V32" s="83">
        <v>1164.7</v>
      </c>
      <c r="W32" s="77">
        <v>89835</v>
      </c>
      <c r="X32" s="77">
        <v>0</v>
      </c>
      <c r="Y32" s="75">
        <f t="shared" si="19"/>
        <v>90999.7</v>
      </c>
      <c r="Z32" s="75">
        <v>0</v>
      </c>
      <c r="AA32" s="14">
        <f t="shared" si="20"/>
        <v>90999.7</v>
      </c>
      <c r="AB32" s="147">
        <f t="shared" si="12"/>
        <v>1.0800510355468518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7">
        <v>1115.2</v>
      </c>
      <c r="E33" s="77">
        <f>SUM(E32-45.6)</f>
        <v>84777.499999999985</v>
      </c>
      <c r="F33" s="77">
        <v>89.5</v>
      </c>
      <c r="G33" s="75">
        <f t="shared" si="13"/>
        <v>85982.199999999983</v>
      </c>
      <c r="H33" s="75">
        <v>0</v>
      </c>
      <c r="I33" s="14">
        <f t="shared" si="14"/>
        <v>85982.199999999983</v>
      </c>
      <c r="J33" s="486">
        <v>1115</v>
      </c>
      <c r="K33" s="488">
        <v>83100</v>
      </c>
      <c r="L33" s="488">
        <v>0</v>
      </c>
      <c r="M33" s="484">
        <f t="shared" si="15"/>
        <v>84215</v>
      </c>
      <c r="N33" s="484">
        <v>0</v>
      </c>
      <c r="O33" s="435">
        <f t="shared" si="16"/>
        <v>84215</v>
      </c>
      <c r="P33" s="83">
        <v>612.1</v>
      </c>
      <c r="Q33" s="77">
        <f>SUM(Q32-18.2)</f>
        <v>44764.5</v>
      </c>
      <c r="R33" s="77">
        <v>0</v>
      </c>
      <c r="S33" s="75">
        <f t="shared" si="17"/>
        <v>45376.6</v>
      </c>
      <c r="T33" s="75">
        <v>0</v>
      </c>
      <c r="U33" s="14">
        <f t="shared" si="18"/>
        <v>45376.6</v>
      </c>
      <c r="V33" s="83">
        <v>1164.7</v>
      </c>
      <c r="W33" s="77">
        <v>89805</v>
      </c>
      <c r="X33" s="77">
        <v>0</v>
      </c>
      <c r="Y33" s="75">
        <f t="shared" si="19"/>
        <v>90969.7</v>
      </c>
      <c r="Z33" s="75">
        <v>0</v>
      </c>
      <c r="AA33" s="14">
        <f t="shared" si="20"/>
        <v>90969.7</v>
      </c>
      <c r="AB33" s="147">
        <f t="shared" si="12"/>
        <v>1.0802078014605474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7">
        <v>0</v>
      </c>
      <c r="E34" s="77">
        <v>45.6</v>
      </c>
      <c r="F34" s="77">
        <v>0</v>
      </c>
      <c r="G34" s="75">
        <f t="shared" si="13"/>
        <v>45.6</v>
      </c>
      <c r="H34" s="75">
        <v>0</v>
      </c>
      <c r="I34" s="14">
        <f t="shared" si="14"/>
        <v>45.6</v>
      </c>
      <c r="J34" s="486">
        <v>0</v>
      </c>
      <c r="K34" s="488">
        <v>40</v>
      </c>
      <c r="L34" s="488">
        <v>0</v>
      </c>
      <c r="M34" s="484">
        <f>SUM(J34:L34)</f>
        <v>40</v>
      </c>
      <c r="N34" s="484">
        <v>0</v>
      </c>
      <c r="O34" s="435">
        <f t="shared" si="16"/>
        <v>40</v>
      </c>
      <c r="P34" s="83">
        <v>0</v>
      </c>
      <c r="Q34" s="77">
        <v>18.2</v>
      </c>
      <c r="R34" s="77">
        <v>0</v>
      </c>
      <c r="S34" s="75">
        <f t="shared" si="17"/>
        <v>18.2</v>
      </c>
      <c r="T34" s="75">
        <v>0</v>
      </c>
      <c r="U34" s="14">
        <f t="shared" si="18"/>
        <v>18.2</v>
      </c>
      <c r="V34" s="83">
        <v>0</v>
      </c>
      <c r="W34" s="77">
        <v>30</v>
      </c>
      <c r="X34" s="77">
        <v>0</v>
      </c>
      <c r="Y34" s="75">
        <f t="shared" si="19"/>
        <v>30</v>
      </c>
      <c r="Z34" s="75">
        <v>0</v>
      </c>
      <c r="AA34" s="14">
        <f t="shared" si="20"/>
        <v>30</v>
      </c>
      <c r="AB34" s="147">
        <f t="shared" si="12"/>
        <v>0.75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7">
        <v>419.6</v>
      </c>
      <c r="E35" s="77">
        <f>SUM(27322.5+566+335.2+5.7)</f>
        <v>28229.4</v>
      </c>
      <c r="F35" s="77">
        <v>0</v>
      </c>
      <c r="G35" s="75">
        <f t="shared" si="13"/>
        <v>28649</v>
      </c>
      <c r="H35" s="75">
        <v>0</v>
      </c>
      <c r="I35" s="14">
        <f t="shared" si="14"/>
        <v>28649</v>
      </c>
      <c r="J35" s="486">
        <v>380</v>
      </c>
      <c r="K35" s="488">
        <v>27900</v>
      </c>
      <c r="L35" s="488">
        <v>0</v>
      </c>
      <c r="M35" s="484">
        <f t="shared" si="15"/>
        <v>28280</v>
      </c>
      <c r="N35" s="484">
        <v>0</v>
      </c>
      <c r="O35" s="435">
        <f t="shared" si="16"/>
        <v>28280</v>
      </c>
      <c r="P35" s="83">
        <v>212.8</v>
      </c>
      <c r="Q35" s="77">
        <v>15047.4</v>
      </c>
      <c r="R35" s="77">
        <v>0</v>
      </c>
      <c r="S35" s="75">
        <f t="shared" si="17"/>
        <v>15260.199999999999</v>
      </c>
      <c r="T35" s="75">
        <v>0</v>
      </c>
      <c r="U35" s="14">
        <f t="shared" si="18"/>
        <v>15260.199999999999</v>
      </c>
      <c r="V35" s="83">
        <v>391</v>
      </c>
      <c r="W35" s="77">
        <v>30572.2</v>
      </c>
      <c r="X35" s="77">
        <v>0</v>
      </c>
      <c r="Y35" s="75">
        <f t="shared" si="19"/>
        <v>30963.200000000001</v>
      </c>
      <c r="Z35" s="75">
        <v>0</v>
      </c>
      <c r="AA35" s="14">
        <f t="shared" si="20"/>
        <v>30963.200000000001</v>
      </c>
      <c r="AB35" s="147">
        <f t="shared" si="12"/>
        <v>1.0948797736916549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>
        <v>0</v>
      </c>
      <c r="E36" s="77">
        <v>0</v>
      </c>
      <c r="F36" s="77">
        <v>0</v>
      </c>
      <c r="G36" s="75">
        <f t="shared" si="13"/>
        <v>0</v>
      </c>
      <c r="H36" s="75">
        <v>0</v>
      </c>
      <c r="I36" s="14">
        <f t="shared" si="14"/>
        <v>0</v>
      </c>
      <c r="J36" s="486">
        <v>0</v>
      </c>
      <c r="K36" s="488">
        <v>0</v>
      </c>
      <c r="L36" s="488">
        <v>0</v>
      </c>
      <c r="M36" s="484">
        <f t="shared" si="15"/>
        <v>0</v>
      </c>
      <c r="N36" s="484">
        <v>0</v>
      </c>
      <c r="O36" s="435">
        <f t="shared" si="16"/>
        <v>0</v>
      </c>
      <c r="P36" s="82">
        <v>0</v>
      </c>
      <c r="Q36" s="77">
        <v>0</v>
      </c>
      <c r="R36" s="77">
        <v>0</v>
      </c>
      <c r="S36" s="75">
        <f t="shared" si="17"/>
        <v>0</v>
      </c>
      <c r="T36" s="75">
        <v>0</v>
      </c>
      <c r="U36" s="14">
        <f t="shared" si="18"/>
        <v>0</v>
      </c>
      <c r="V36" s="82">
        <v>0</v>
      </c>
      <c r="W36" s="77">
        <v>0</v>
      </c>
      <c r="X36" s="77">
        <v>0</v>
      </c>
      <c r="Y36" s="75">
        <f t="shared" si="19"/>
        <v>0</v>
      </c>
      <c r="Z36" s="75">
        <v>0</v>
      </c>
      <c r="AA36" s="14">
        <f t="shared" si="20"/>
        <v>0</v>
      </c>
      <c r="AB36" s="147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1531.5</v>
      </c>
      <c r="E37" s="77">
        <v>0</v>
      </c>
      <c r="F37" s="77">
        <f>SUM(F19)</f>
        <v>446.5</v>
      </c>
      <c r="G37" s="75">
        <f t="shared" si="13"/>
        <v>1978</v>
      </c>
      <c r="H37" s="75">
        <v>0</v>
      </c>
      <c r="I37" s="14">
        <f t="shared" si="14"/>
        <v>1978</v>
      </c>
      <c r="J37" s="486">
        <v>1476</v>
      </c>
      <c r="K37" s="488">
        <v>0</v>
      </c>
      <c r="L37" s="488">
        <v>275</v>
      </c>
      <c r="M37" s="484">
        <f t="shared" si="15"/>
        <v>1751</v>
      </c>
      <c r="N37" s="484">
        <v>0</v>
      </c>
      <c r="O37" s="435">
        <f t="shared" si="16"/>
        <v>1751</v>
      </c>
      <c r="P37" s="82">
        <v>881.8</v>
      </c>
      <c r="Q37" s="77">
        <v>0</v>
      </c>
      <c r="R37" s="77">
        <v>186</v>
      </c>
      <c r="S37" s="75">
        <f t="shared" si="17"/>
        <v>1067.8</v>
      </c>
      <c r="T37" s="75">
        <v>0</v>
      </c>
      <c r="U37" s="14">
        <f t="shared" si="18"/>
        <v>1067.8</v>
      </c>
      <c r="V37" s="82">
        <v>299</v>
      </c>
      <c r="W37" s="77">
        <v>0</v>
      </c>
      <c r="X37" s="77">
        <v>16.2</v>
      </c>
      <c r="Y37" s="75">
        <f t="shared" si="19"/>
        <v>315.2</v>
      </c>
      <c r="Z37" s="75">
        <v>0</v>
      </c>
      <c r="AA37" s="14">
        <f t="shared" si="20"/>
        <v>315.2</v>
      </c>
      <c r="AB37" s="147">
        <f t="shared" si="12"/>
        <v>0.18001142204454595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77">
        <v>350.9</v>
      </c>
      <c r="E38" s="351">
        <f>SUM(1666.1+32+127+648.6+350.1)</f>
        <v>2823.7999999999997</v>
      </c>
      <c r="F38" s="78">
        <v>1243.5</v>
      </c>
      <c r="G38" s="75">
        <f t="shared" si="13"/>
        <v>4418.2</v>
      </c>
      <c r="H38" s="79">
        <v>0</v>
      </c>
      <c r="I38" s="23">
        <f t="shared" si="14"/>
        <v>4418.2</v>
      </c>
      <c r="J38" s="489">
        <v>650</v>
      </c>
      <c r="K38" s="490">
        <v>2860</v>
      </c>
      <c r="L38" s="490">
        <v>300</v>
      </c>
      <c r="M38" s="491">
        <f t="shared" si="15"/>
        <v>3810</v>
      </c>
      <c r="N38" s="491">
        <v>0</v>
      </c>
      <c r="O38" s="457">
        <f t="shared" si="16"/>
        <v>3810</v>
      </c>
      <c r="P38" s="84">
        <v>335.3</v>
      </c>
      <c r="Q38" s="78">
        <v>1199.8</v>
      </c>
      <c r="R38" s="78">
        <v>466.8</v>
      </c>
      <c r="S38" s="79">
        <f t="shared" si="17"/>
        <v>2001.8999999999999</v>
      </c>
      <c r="T38" s="79">
        <v>0</v>
      </c>
      <c r="U38" s="23">
        <f t="shared" si="18"/>
        <v>2001.8999999999999</v>
      </c>
      <c r="V38" s="84">
        <v>468.4</v>
      </c>
      <c r="W38" s="78">
        <v>1226.3</v>
      </c>
      <c r="X38" s="78">
        <v>1242.7</v>
      </c>
      <c r="Y38" s="79">
        <f t="shared" si="19"/>
        <v>2937.3999999999996</v>
      </c>
      <c r="Z38" s="79">
        <v>0</v>
      </c>
      <c r="AA38" s="23">
        <f t="shared" si="20"/>
        <v>2937.3999999999996</v>
      </c>
      <c r="AB38" s="150">
        <f t="shared" si="12"/>
        <v>0.77097112860892381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14839.900000000001</v>
      </c>
      <c r="E39" s="42">
        <f>SUM(E28:E38)-E33-E34</f>
        <v>117049.89999999998</v>
      </c>
      <c r="F39" s="42">
        <f>SUM(F35:F38)+SUM(F28:F32)</f>
        <v>10720.4</v>
      </c>
      <c r="G39" s="146">
        <f>SUM(D39:F39)</f>
        <v>142610.19999999998</v>
      </c>
      <c r="H39" s="43">
        <f>SUM(H28:H32)+SUM(H35:H38)</f>
        <v>0</v>
      </c>
      <c r="I39" s="44">
        <f>SUM(I35:I38)+SUM(I28:I32)</f>
        <v>142610.19999999998</v>
      </c>
      <c r="J39" s="492">
        <f>SUM(J35:J38)+SUM(J28:J32)</f>
        <v>16585</v>
      </c>
      <c r="K39" s="492">
        <f>SUM(K35:K38)+SUM(K28:K32)</f>
        <v>114000</v>
      </c>
      <c r="L39" s="492">
        <f>SUM(L35:L38)+SUM(L28:L32)</f>
        <v>10325</v>
      </c>
      <c r="M39" s="493">
        <f>SUM(J39:L39)</f>
        <v>140910</v>
      </c>
      <c r="N39" s="494">
        <f>SUM(N28:N32)+SUM(N35:N38)</f>
        <v>0</v>
      </c>
      <c r="O39" s="495">
        <f>SUM(O35:O38)+SUM(O28:O32)</f>
        <v>140910</v>
      </c>
      <c r="P39" s="42">
        <f>SUM(P35:P38)+SUM(P28:P32)</f>
        <v>8486.5000000000018</v>
      </c>
      <c r="Q39" s="42">
        <f>SUM(Q35:Q38)+SUM(Q28:Q32)</f>
        <v>61055.7</v>
      </c>
      <c r="R39" s="42">
        <f>SUM(R35:R38)+SUM(R28:R32)</f>
        <v>5939.9000000000005</v>
      </c>
      <c r="S39" s="146">
        <f>SUM(P39:R39)</f>
        <v>75482.099999999991</v>
      </c>
      <c r="T39" s="43">
        <f>SUM(T28:T32)+SUM(T35:T38)</f>
        <v>0</v>
      </c>
      <c r="U39" s="44">
        <f>SUM(U35:U38)+SUM(U28:U32)</f>
        <v>75482.099999999991</v>
      </c>
      <c r="V39" s="42">
        <f>SUM(V35:V38)+SUM(V28:V32)</f>
        <v>15238.7</v>
      </c>
      <c r="W39" s="42">
        <f>SUM(W35:W38)+SUM(W28:W32)</f>
        <v>121751</v>
      </c>
      <c r="X39" s="42">
        <f>SUM(X35:X38)+SUM(X28:X32)</f>
        <v>12364.9</v>
      </c>
      <c r="Y39" s="146">
        <f>SUM(V39:X39)</f>
        <v>149354.6</v>
      </c>
      <c r="Z39" s="43">
        <f>SUM(Z28:Z32)+SUM(Z35:Z38)</f>
        <v>0</v>
      </c>
      <c r="AA39" s="44">
        <f>SUM(AA35:AA38)+SUM(AA28:AA32)</f>
        <v>149354.59999999998</v>
      </c>
      <c r="AB39" s="152">
        <f t="shared" si="12"/>
        <v>1.0599290327159179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>D24-D39</f>
        <v>0</v>
      </c>
      <c r="E40" s="109">
        <f t="shared" ref="E40:AA40" si="21">E24-E39</f>
        <v>106.10000000002037</v>
      </c>
      <c r="F40" s="109">
        <f t="shared" si="21"/>
        <v>16.800000000001091</v>
      </c>
      <c r="G40" s="118">
        <f t="shared" si="21"/>
        <v>122.90000000002328</v>
      </c>
      <c r="H40" s="118">
        <f t="shared" si="21"/>
        <v>67.099999999999994</v>
      </c>
      <c r="I40" s="119">
        <f t="shared" si="21"/>
        <v>190.0000000000291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496">
        <f t="shared" si="21"/>
        <v>0</v>
      </c>
      <c r="N40" s="496">
        <f t="shared" si="21"/>
        <v>100</v>
      </c>
      <c r="O40" s="497">
        <f t="shared" si="21"/>
        <v>100</v>
      </c>
      <c r="P40" s="109">
        <f t="shared" si="21"/>
        <v>-232.10000000000218</v>
      </c>
      <c r="Q40" s="109">
        <f t="shared" si="21"/>
        <v>-26.19999999999709</v>
      </c>
      <c r="R40" s="109">
        <f t="shared" si="21"/>
        <v>542.19999999999891</v>
      </c>
      <c r="S40" s="118">
        <f t="shared" si="21"/>
        <v>283.90000000000873</v>
      </c>
      <c r="T40" s="118">
        <f t="shared" si="21"/>
        <v>44.3</v>
      </c>
      <c r="U40" s="119">
        <f t="shared" si="21"/>
        <v>328.20000000001164</v>
      </c>
      <c r="V40" s="109">
        <f t="shared" si="21"/>
        <v>0</v>
      </c>
      <c r="W40" s="109">
        <f t="shared" si="21"/>
        <v>0</v>
      </c>
      <c r="X40" s="109">
        <f t="shared" si="21"/>
        <v>0</v>
      </c>
      <c r="Y40" s="118">
        <f t="shared" si="21"/>
        <v>0</v>
      </c>
      <c r="Z40" s="118">
        <f t="shared" si="21"/>
        <v>47</v>
      </c>
      <c r="AA40" s="119">
        <f t="shared" si="21"/>
        <v>47.000000000029104</v>
      </c>
      <c r="AB40" s="153">
        <f t="shared" si="12"/>
        <v>0.47000000000029102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-13876.499999999971</v>
      </c>
      <c r="J41" s="112"/>
      <c r="K41" s="113"/>
      <c r="L41" s="113"/>
      <c r="M41" s="114"/>
      <c r="N41" s="117"/>
      <c r="O41" s="116">
        <f>O40-J16</f>
        <v>-16213.3</v>
      </c>
      <c r="P41" s="112"/>
      <c r="Q41" s="113"/>
      <c r="R41" s="113"/>
      <c r="S41" s="114"/>
      <c r="T41" s="117"/>
      <c r="U41" s="116">
        <f>U40-P16</f>
        <v>-7828.699999999988</v>
      </c>
      <c r="V41" s="112"/>
      <c r="W41" s="113"/>
      <c r="X41" s="113"/>
      <c r="Y41" s="114"/>
      <c r="Z41" s="117"/>
      <c r="AA41" s="116">
        <f>AA40-V16</f>
        <v>-14926.999999999971</v>
      </c>
      <c r="AB41" s="147">
        <f t="shared" si="12"/>
        <v>0.92066389939123872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>
        <v>1147.5</v>
      </c>
      <c r="E44" s="104">
        <v>1147.5</v>
      </c>
      <c r="F44" s="105">
        <v>0</v>
      </c>
      <c r="G44" s="49"/>
      <c r="H44" s="49"/>
      <c r="I44" s="50"/>
      <c r="J44" s="94">
        <v>1391.5</v>
      </c>
      <c r="K44" s="104">
        <v>1391.5</v>
      </c>
      <c r="L44" s="105">
        <v>0</v>
      </c>
      <c r="M44" s="93"/>
      <c r="N44" s="93"/>
      <c r="O44" s="93"/>
      <c r="P44" s="94">
        <v>347.9</v>
      </c>
      <c r="Q44" s="104">
        <v>347.9</v>
      </c>
      <c r="R44" s="105">
        <v>0</v>
      </c>
      <c r="S44" s="4"/>
      <c r="T44" s="4"/>
      <c r="U44" s="4"/>
      <c r="V44" s="94">
        <v>0</v>
      </c>
      <c r="W44" s="104">
        <v>0</v>
      </c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500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94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117</v>
      </c>
      <c r="D50" s="85">
        <f>SUM(D51:D54)</f>
        <v>3141.0999999999995</v>
      </c>
      <c r="E50" s="85">
        <f>SUM(E51:E54)</f>
        <v>3346.6000000000004</v>
      </c>
      <c r="F50" s="85">
        <f>SUM(F51:F54)</f>
        <v>5496.7</v>
      </c>
      <c r="G50" s="52">
        <f>D50+E50-F50</f>
        <v>991</v>
      </c>
      <c r="H50" s="49"/>
      <c r="I50" s="4"/>
      <c r="J50" s="85">
        <v>1225</v>
      </c>
      <c r="K50" s="85">
        <f>SUM(K51:K54)</f>
        <v>3402</v>
      </c>
      <c r="L50" s="85">
        <f>SUM(L51:L54)</f>
        <v>3270</v>
      </c>
      <c r="M50" s="52">
        <f>J50+K50-L50</f>
        <v>1357</v>
      </c>
      <c r="N50" s="4"/>
      <c r="O50" s="4"/>
      <c r="P50" s="52">
        <f>M50+N50-O50</f>
        <v>1357</v>
      </c>
      <c r="Q50" s="85">
        <f>SUM(Q51:Q54)</f>
        <v>4256</v>
      </c>
      <c r="R50" s="85">
        <f>SUM(R51:R54)</f>
        <v>4435</v>
      </c>
      <c r="S50" s="52">
        <f>P50+Q50-R50</f>
        <v>1178</v>
      </c>
      <c r="T50" s="4"/>
      <c r="U50" s="4"/>
      <c r="V50" s="52">
        <f>S50+T50-U50</f>
        <v>1178</v>
      </c>
      <c r="W50" s="85">
        <f>SUM(W51:W54)</f>
        <v>1446</v>
      </c>
      <c r="X50" s="85">
        <f>SUM(X51:X54)</f>
        <v>1110</v>
      </c>
      <c r="Y50" s="52">
        <f>V50+W50-X50</f>
        <v>1514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85">
        <v>1326.1</v>
      </c>
      <c r="E51" s="85">
        <v>99.4</v>
      </c>
      <c r="F51" s="85">
        <v>1169</v>
      </c>
      <c r="G51" s="52">
        <f t="shared" ref="G51:G54" si="22">D51+E51-F51</f>
        <v>256.5</v>
      </c>
      <c r="H51" s="49"/>
      <c r="I51" s="4"/>
      <c r="J51" s="85">
        <v>206</v>
      </c>
      <c r="K51" s="85">
        <v>100</v>
      </c>
      <c r="L51" s="85">
        <v>150</v>
      </c>
      <c r="M51" s="52">
        <f t="shared" ref="M51:M54" si="23">J51+K51-L51</f>
        <v>156</v>
      </c>
      <c r="N51" s="4"/>
      <c r="O51" s="4"/>
      <c r="P51" s="52">
        <v>256.5</v>
      </c>
      <c r="Q51" s="85">
        <v>306</v>
      </c>
      <c r="R51" s="85">
        <v>303</v>
      </c>
      <c r="S51" s="52">
        <f t="shared" ref="S51:S54" si="24">P51+Q51-R51</f>
        <v>259.5</v>
      </c>
      <c r="T51" s="4"/>
      <c r="U51" s="4"/>
      <c r="V51" s="52">
        <f t="shared" ref="V51:V54" si="25">S51+T51-U51</f>
        <v>259.5</v>
      </c>
      <c r="W51" s="85">
        <v>250</v>
      </c>
      <c r="X51" s="85">
        <v>210</v>
      </c>
      <c r="Y51" s="52">
        <f t="shared" ref="Y51:Y54" si="26">V51+W51-X51</f>
        <v>299.5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705.3</v>
      </c>
      <c r="E52" s="85">
        <v>1531.5</v>
      </c>
      <c r="F52" s="85">
        <v>1663.6</v>
      </c>
      <c r="G52" s="52">
        <f t="shared" si="22"/>
        <v>573.20000000000027</v>
      </c>
      <c r="H52" s="49"/>
      <c r="I52" s="4"/>
      <c r="J52" s="85">
        <v>571</v>
      </c>
      <c r="K52" s="85">
        <v>1452</v>
      </c>
      <c r="L52" s="85">
        <v>1320</v>
      </c>
      <c r="M52" s="52">
        <f t="shared" si="23"/>
        <v>703</v>
      </c>
      <c r="N52" s="4"/>
      <c r="O52" s="4"/>
      <c r="P52" s="52">
        <v>573.20000000000005</v>
      </c>
      <c r="Q52" s="85">
        <v>1962</v>
      </c>
      <c r="R52" s="85">
        <v>2382</v>
      </c>
      <c r="S52" s="52">
        <f t="shared" si="24"/>
        <v>153.19999999999982</v>
      </c>
      <c r="T52" s="4"/>
      <c r="U52" s="4"/>
      <c r="V52" s="52">
        <f t="shared" si="25"/>
        <v>153.19999999999982</v>
      </c>
      <c r="W52" s="85">
        <v>299</v>
      </c>
      <c r="X52" s="85">
        <v>0</v>
      </c>
      <c r="Y52" s="52">
        <f t="shared" si="26"/>
        <v>452.19999999999982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250</v>
      </c>
      <c r="E53" s="85">
        <v>0</v>
      </c>
      <c r="F53" s="85">
        <v>89.5</v>
      </c>
      <c r="G53" s="52">
        <f t="shared" si="22"/>
        <v>160.5</v>
      </c>
      <c r="H53" s="49"/>
      <c r="I53" s="4"/>
      <c r="J53" s="85">
        <v>250</v>
      </c>
      <c r="K53" s="85">
        <v>0</v>
      </c>
      <c r="L53" s="85">
        <v>0</v>
      </c>
      <c r="M53" s="52">
        <f t="shared" si="23"/>
        <v>250</v>
      </c>
      <c r="N53" s="4"/>
      <c r="O53" s="4"/>
      <c r="P53" s="52">
        <v>160.5</v>
      </c>
      <c r="Q53" s="85">
        <v>38</v>
      </c>
      <c r="R53" s="85">
        <v>0</v>
      </c>
      <c r="S53" s="52">
        <f t="shared" si="24"/>
        <v>198.5</v>
      </c>
      <c r="T53" s="4"/>
      <c r="U53" s="4"/>
      <c r="V53" s="52">
        <f t="shared" si="25"/>
        <v>198.5</v>
      </c>
      <c r="W53" s="85">
        <v>0</v>
      </c>
      <c r="X53" s="85">
        <v>0</v>
      </c>
      <c r="Y53" s="52">
        <f t="shared" si="26"/>
        <v>198.5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859.7</v>
      </c>
      <c r="E54" s="85">
        <v>1715.7</v>
      </c>
      <c r="F54" s="85">
        <v>2574.6</v>
      </c>
      <c r="G54" s="52">
        <f t="shared" si="22"/>
        <v>0.8000000000001819</v>
      </c>
      <c r="H54" s="49"/>
      <c r="I54" s="4"/>
      <c r="J54" s="85">
        <v>198</v>
      </c>
      <c r="K54" s="85">
        <v>1850</v>
      </c>
      <c r="L54" s="85">
        <v>1800</v>
      </c>
      <c r="M54" s="52">
        <f t="shared" si="23"/>
        <v>248</v>
      </c>
      <c r="N54" s="4"/>
      <c r="O54" s="4"/>
      <c r="P54" s="52">
        <v>0.8</v>
      </c>
      <c r="Q54" s="85">
        <v>1950</v>
      </c>
      <c r="R54" s="85">
        <v>1750</v>
      </c>
      <c r="S54" s="52">
        <f t="shared" si="24"/>
        <v>200.79999999999995</v>
      </c>
      <c r="T54" s="4"/>
      <c r="U54" s="4"/>
      <c r="V54" s="52">
        <f t="shared" si="25"/>
        <v>200.79999999999995</v>
      </c>
      <c r="W54" s="85">
        <v>897</v>
      </c>
      <c r="X54" s="85">
        <v>900</v>
      </c>
      <c r="Y54" s="52">
        <f t="shared" si="26"/>
        <v>197.79999999999995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216</v>
      </c>
      <c r="E57" s="86">
        <v>223.3</v>
      </c>
      <c r="F57" s="49"/>
      <c r="G57" s="49"/>
      <c r="H57" s="49"/>
      <c r="I57" s="50"/>
      <c r="J57" s="86">
        <v>226.43</v>
      </c>
      <c r="K57" s="49"/>
      <c r="L57" s="49"/>
      <c r="M57" s="49"/>
      <c r="N57" s="49"/>
      <c r="O57" s="50"/>
      <c r="P57" s="86">
        <v>227.3</v>
      </c>
      <c r="Q57" s="50"/>
      <c r="R57" s="50"/>
      <c r="S57" s="50"/>
      <c r="T57" s="50"/>
      <c r="U57" s="50"/>
      <c r="V57" s="86">
        <v>226.4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 t="s">
        <v>129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 t="s">
        <v>130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83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83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83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83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83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83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83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83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83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83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83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83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183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24"/>
      <c r="C83" s="91"/>
      <c r="D83" s="91"/>
      <c r="E83" s="91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43"/>
      <c r="C84" s="140"/>
      <c r="D84" s="2"/>
      <c r="E84" s="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24"/>
      <c r="C86" s="125"/>
      <c r="D86" s="2"/>
      <c r="E86" s="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22"/>
      <c r="W86" s="122"/>
      <c r="X86" s="122"/>
      <c r="Y86" s="122"/>
      <c r="Z86" s="122"/>
      <c r="AA86" s="122"/>
      <c r="AB86" s="123"/>
      <c r="AC86" s="4"/>
      <c r="AD86" s="4"/>
    </row>
    <row r="87" spans="1:30" x14ac:dyDescent="0.25">
      <c r="A87" s="5"/>
      <c r="B87" s="134"/>
      <c r="C87" s="135"/>
      <c r="D87" s="136"/>
      <c r="E87" s="136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56"/>
      <c r="W87" s="156"/>
      <c r="X87" s="156"/>
      <c r="Y87" s="156"/>
      <c r="Z87" s="156"/>
      <c r="AA87" s="156"/>
      <c r="AB87" s="157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7"/>
      <c r="B89" s="138"/>
      <c r="C89" s="137"/>
      <c r="D89" s="138"/>
      <c r="E89" s="138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3" t="s">
        <v>80</v>
      </c>
      <c r="C91" s="120">
        <v>45209</v>
      </c>
      <c r="D91" s="53" t="s">
        <v>76</v>
      </c>
      <c r="E91" s="218" t="s">
        <v>131</v>
      </c>
      <c r="F91" s="218"/>
      <c r="G91" s="218"/>
      <c r="H91" s="53"/>
      <c r="I91" s="53" t="s">
        <v>77</v>
      </c>
      <c r="J91" s="222" t="s">
        <v>132</v>
      </c>
      <c r="K91" s="222"/>
      <c r="L91" s="222"/>
      <c r="M91" s="222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 t="s">
        <v>79</v>
      </c>
      <c r="E93" s="55"/>
      <c r="F93" s="55"/>
      <c r="G93" s="55"/>
      <c r="H93" s="53"/>
      <c r="I93" s="53" t="s">
        <v>79</v>
      </c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5"/>
      <c r="F94" s="55"/>
      <c r="G94" s="55"/>
      <c r="H94" s="53"/>
      <c r="I94" s="53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1" priority="3" operator="equal">
      <formula>0</formula>
    </cfRule>
    <cfRule type="containsErrors" dxfId="30" priority="4">
      <formula>ISERROR(AB15)</formula>
    </cfRule>
  </conditionalFormatting>
  <conditionalFormatting sqref="AB28:AB41">
    <cfRule type="cellIs" dxfId="29" priority="1" operator="equal">
      <formula>0</formula>
    </cfRule>
    <cfRule type="containsErrors" dxfId="28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80" zoomScaleNormal="80" zoomScaleSheetLayoutView="80" workbookViewId="0">
      <selection activeCell="V36" sqref="V3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59.28515625" customWidth="1"/>
    <col min="4" max="4" width="16.5703125" customWidth="1"/>
    <col min="5" max="5" width="13.85546875" customWidth="1"/>
    <col min="6" max="6" width="13.140625" customWidth="1"/>
    <col min="7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6" width="13.140625" customWidth="1"/>
    <col min="17" max="17" width="12.7109375" customWidth="1"/>
    <col min="18" max="18" width="12.28515625" customWidth="1"/>
    <col min="19" max="19" width="16.710937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155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71294147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429" t="s">
        <v>156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2363.1010000000001</v>
      </c>
      <c r="G15" s="63">
        <f>SUM(D15:F15)</f>
        <v>2363.1010000000001</v>
      </c>
      <c r="H15" s="66">
        <v>256.97899999999998</v>
      </c>
      <c r="I15" s="14">
        <f>G15+H15</f>
        <v>2620.08</v>
      </c>
      <c r="J15" s="430"/>
      <c r="K15" s="431"/>
      <c r="L15" s="432">
        <v>2400</v>
      </c>
      <c r="M15" s="433">
        <f t="shared" ref="M15:M23" si="0">SUM(J15:L15)</f>
        <v>2400</v>
      </c>
      <c r="N15" s="434">
        <v>350</v>
      </c>
      <c r="O15" s="435">
        <f>M15+N15</f>
        <v>2750</v>
      </c>
      <c r="P15" s="12"/>
      <c r="Q15" s="13"/>
      <c r="R15" s="436">
        <v>1682.069</v>
      </c>
      <c r="S15" s="63">
        <f>SUM(P15:R15)</f>
        <v>1682.069</v>
      </c>
      <c r="T15" s="66">
        <v>120.61799999999999</v>
      </c>
      <c r="U15" s="14">
        <f>S15+T15</f>
        <v>1802.6869999999999</v>
      </c>
      <c r="V15" s="12"/>
      <c r="W15" s="13"/>
      <c r="X15" s="56">
        <v>2400</v>
      </c>
      <c r="Y15" s="63">
        <f>SUM(V15:X15)</f>
        <v>2400</v>
      </c>
      <c r="Z15" s="66">
        <v>350</v>
      </c>
      <c r="AA15" s="14">
        <f>Y15+Z15</f>
        <v>2750</v>
      </c>
      <c r="AB15" s="147">
        <f>(AA15/O15)</f>
        <v>1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1310</v>
      </c>
      <c r="E16" s="16"/>
      <c r="F16" s="16"/>
      <c r="G16" s="64">
        <f t="shared" ref="G16:G23" si="1">SUM(D16:F16)</f>
        <v>1310</v>
      </c>
      <c r="H16" s="67"/>
      <c r="I16" s="14">
        <f t="shared" ref="I16:I23" si="2">G16+H16</f>
        <v>1310</v>
      </c>
      <c r="J16" s="437">
        <v>1714.9</v>
      </c>
      <c r="K16" s="438"/>
      <c r="L16" s="438"/>
      <c r="M16" s="439">
        <f t="shared" si="0"/>
        <v>1714.9</v>
      </c>
      <c r="N16" s="440"/>
      <c r="O16" s="435">
        <f t="shared" ref="O16:O20" si="3">M16+N16</f>
        <v>1714.9</v>
      </c>
      <c r="P16" s="57">
        <v>857.5</v>
      </c>
      <c r="Q16" s="441"/>
      <c r="R16" s="16"/>
      <c r="S16" s="64">
        <f t="shared" ref="S16:S23" si="4">SUM(P16:R16)</f>
        <v>857.5</v>
      </c>
      <c r="T16" s="67"/>
      <c r="U16" s="14">
        <f t="shared" ref="U16:U23" si="5">S16+T16</f>
        <v>857.5</v>
      </c>
      <c r="V16" s="57">
        <v>1810</v>
      </c>
      <c r="W16" s="16"/>
      <c r="X16" s="16"/>
      <c r="Y16" s="64">
        <f t="shared" ref="Y16:Y23" si="6">SUM(V16:X16)</f>
        <v>1810</v>
      </c>
      <c r="Z16" s="67"/>
      <c r="AA16" s="14">
        <f t="shared" ref="AA16:AA20" si="7">Y16+Z16</f>
        <v>1810</v>
      </c>
      <c r="AB16" s="147">
        <f t="shared" ref="AB16:AB24" si="8">(AA16/O16)</f>
        <v>1.0554551285789258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>
        <f>163.653+137+22.6</f>
        <v>323.25300000000004</v>
      </c>
      <c r="E17" s="17"/>
      <c r="F17" s="17"/>
      <c r="G17" s="64">
        <f t="shared" si="1"/>
        <v>323.25300000000004</v>
      </c>
      <c r="H17" s="68"/>
      <c r="I17" s="14">
        <f t="shared" si="2"/>
        <v>323.25300000000004</v>
      </c>
      <c r="J17" s="442">
        <v>183.2</v>
      </c>
      <c r="K17" s="443"/>
      <c r="L17" s="443"/>
      <c r="M17" s="439">
        <f t="shared" si="0"/>
        <v>183.2</v>
      </c>
      <c r="N17" s="444"/>
      <c r="O17" s="435">
        <f t="shared" si="3"/>
        <v>183.2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58">
        <v>183</v>
      </c>
      <c r="W17" s="17"/>
      <c r="X17" s="17"/>
      <c r="Y17" s="64">
        <f t="shared" si="6"/>
        <v>183</v>
      </c>
      <c r="Z17" s="68"/>
      <c r="AA17" s="14">
        <f t="shared" si="7"/>
        <v>183</v>
      </c>
      <c r="AB17" s="147">
        <f t="shared" si="8"/>
        <v>0.99890829694323147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11497.433999999999</v>
      </c>
      <c r="F18" s="17"/>
      <c r="G18" s="64">
        <f t="shared" si="1"/>
        <v>11497.433999999999</v>
      </c>
      <c r="H18" s="66"/>
      <c r="I18" s="14">
        <f t="shared" si="2"/>
        <v>11497.433999999999</v>
      </c>
      <c r="J18" s="445"/>
      <c r="K18" s="446">
        <v>10349.6</v>
      </c>
      <c r="L18" s="443"/>
      <c r="M18" s="439">
        <f t="shared" si="0"/>
        <v>10349.6</v>
      </c>
      <c r="N18" s="434"/>
      <c r="O18" s="435">
        <f t="shared" si="3"/>
        <v>10349.6</v>
      </c>
      <c r="P18" s="18"/>
      <c r="Q18" s="59">
        <f>4707+347.822+123.5+392.024</f>
        <v>5570.3460000000005</v>
      </c>
      <c r="R18" s="17"/>
      <c r="S18" s="64">
        <f t="shared" si="4"/>
        <v>5570.3460000000005</v>
      </c>
      <c r="T18" s="66"/>
      <c r="U18" s="14">
        <f t="shared" si="5"/>
        <v>5570.3460000000005</v>
      </c>
      <c r="V18" s="18"/>
      <c r="W18" s="59">
        <v>10349.6</v>
      </c>
      <c r="X18" s="17"/>
      <c r="Y18" s="64">
        <f t="shared" si="6"/>
        <v>10349.6</v>
      </c>
      <c r="Z18" s="66"/>
      <c r="AA18" s="14">
        <f t="shared" si="7"/>
        <v>10349.6</v>
      </c>
      <c r="AB18" s="147">
        <f t="shared" si="8"/>
        <v>1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346.97500000000002</v>
      </c>
      <c r="G19" s="64">
        <f t="shared" si="1"/>
        <v>346.97500000000002</v>
      </c>
      <c r="H19" s="69"/>
      <c r="I19" s="14">
        <f t="shared" si="2"/>
        <v>346.97500000000002</v>
      </c>
      <c r="J19" s="447"/>
      <c r="K19" s="443"/>
      <c r="L19" s="448">
        <v>347</v>
      </c>
      <c r="M19" s="439">
        <f t="shared" si="0"/>
        <v>347</v>
      </c>
      <c r="N19" s="449"/>
      <c r="O19" s="435">
        <f t="shared" si="3"/>
        <v>347</v>
      </c>
      <c r="P19" s="19"/>
      <c r="Q19" s="17"/>
      <c r="R19" s="60">
        <v>173.48500000000001</v>
      </c>
      <c r="S19" s="64">
        <f t="shared" si="4"/>
        <v>173.48500000000001</v>
      </c>
      <c r="T19" s="69"/>
      <c r="U19" s="14">
        <f t="shared" si="5"/>
        <v>173.48500000000001</v>
      </c>
      <c r="V19" s="19"/>
      <c r="W19" s="17"/>
      <c r="X19" s="60">
        <v>347</v>
      </c>
      <c r="Y19" s="64">
        <f t="shared" si="6"/>
        <v>347</v>
      </c>
      <c r="Z19" s="69"/>
      <c r="AA19" s="14">
        <f t="shared" si="7"/>
        <v>347</v>
      </c>
      <c r="AB19" s="147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/>
      <c r="G20" s="64"/>
      <c r="H20" s="69"/>
      <c r="I20" s="14">
        <f t="shared" si="2"/>
        <v>0</v>
      </c>
      <c r="J20" s="445"/>
      <c r="K20" s="438"/>
      <c r="L20" s="450">
        <v>30</v>
      </c>
      <c r="M20" s="439">
        <f t="shared" si="0"/>
        <v>30</v>
      </c>
      <c r="N20" s="449"/>
      <c r="O20" s="435">
        <f t="shared" si="3"/>
        <v>30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61">
        <v>30</v>
      </c>
      <c r="Y20" s="64">
        <f t="shared" si="6"/>
        <v>30</v>
      </c>
      <c r="Z20" s="69"/>
      <c r="AA20" s="14">
        <f t="shared" si="7"/>
        <v>30</v>
      </c>
      <c r="AB20" s="147">
        <f t="shared" si="8"/>
        <v>1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f>35.29+127.394</f>
        <v>162.684</v>
      </c>
      <c r="G21" s="64">
        <f t="shared" si="1"/>
        <v>162.684</v>
      </c>
      <c r="H21" s="70">
        <v>17</v>
      </c>
      <c r="I21" s="14">
        <f>G21+H21</f>
        <v>179.684</v>
      </c>
      <c r="J21" s="445"/>
      <c r="K21" s="438"/>
      <c r="L21" s="450">
        <v>80</v>
      </c>
      <c r="M21" s="439">
        <f t="shared" si="0"/>
        <v>80</v>
      </c>
      <c r="N21" s="451"/>
      <c r="O21" s="435">
        <f>M21+N21</f>
        <v>80</v>
      </c>
      <c r="P21" s="18"/>
      <c r="Q21" s="16"/>
      <c r="R21" s="61">
        <v>103.9</v>
      </c>
      <c r="S21" s="64">
        <f>53.13-2.5+53.275</f>
        <v>103.905</v>
      </c>
      <c r="T21" s="70">
        <v>2.5</v>
      </c>
      <c r="U21" s="14">
        <f t="shared" si="5"/>
        <v>106.405</v>
      </c>
      <c r="V21" s="18"/>
      <c r="W21" s="16"/>
      <c r="X21" s="61">
        <v>170</v>
      </c>
      <c r="Y21" s="64">
        <f t="shared" si="6"/>
        <v>170</v>
      </c>
      <c r="Z21" s="70"/>
      <c r="AA21" s="14">
        <f>Y21+Z21</f>
        <v>170</v>
      </c>
      <c r="AB21" s="147">
        <f t="shared" si="8"/>
        <v>2.125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445"/>
      <c r="K22" s="438"/>
      <c r="L22" s="450">
        <v>0</v>
      </c>
      <c r="M22" s="439">
        <f t="shared" si="0"/>
        <v>0</v>
      </c>
      <c r="N22" s="451"/>
      <c r="O22" s="435">
        <f t="shared" ref="O22:O23" si="9">M22+N22</f>
        <v>0</v>
      </c>
      <c r="P22" s="18"/>
      <c r="Q22" s="16"/>
      <c r="R22" s="61"/>
      <c r="S22" s="64">
        <f t="shared" si="4"/>
        <v>0</v>
      </c>
      <c r="T22" s="70"/>
      <c r="U22" s="14">
        <f t="shared" si="5"/>
        <v>0</v>
      </c>
      <c r="V22" s="18"/>
      <c r="W22" s="16"/>
      <c r="X22" s="61">
        <v>0</v>
      </c>
      <c r="Y22" s="64">
        <f t="shared" si="6"/>
        <v>0</v>
      </c>
      <c r="Z22" s="70"/>
      <c r="AA22" s="14">
        <f t="shared" ref="AA22:AA23" si="10">Y22+Z22</f>
        <v>0</v>
      </c>
      <c r="AB22" s="147" t="e">
        <f t="shared" si="8"/>
        <v>#DIV/0!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/>
      <c r="G23" s="65">
        <f t="shared" si="1"/>
        <v>0</v>
      </c>
      <c r="H23" s="71"/>
      <c r="I23" s="23">
        <f t="shared" si="2"/>
        <v>0</v>
      </c>
      <c r="J23" s="452"/>
      <c r="K23" s="453"/>
      <c r="L23" s="454">
        <v>0</v>
      </c>
      <c r="M23" s="455">
        <f t="shared" si="0"/>
        <v>0</v>
      </c>
      <c r="N23" s="456"/>
      <c r="O23" s="457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5"/>
        <v>0</v>
      </c>
      <c r="V23" s="21"/>
      <c r="W23" s="22"/>
      <c r="X23" s="62">
        <v>0</v>
      </c>
      <c r="Y23" s="65">
        <f t="shared" si="6"/>
        <v>0</v>
      </c>
      <c r="Z23" s="71"/>
      <c r="AA23" s="23">
        <f t="shared" si="10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1633.2530000000002</v>
      </c>
      <c r="E24" s="27">
        <f>SUM(E15:E21)</f>
        <v>11497.433999999999</v>
      </c>
      <c r="F24" s="27">
        <f>SUM(F15:F21)</f>
        <v>2872.76</v>
      </c>
      <c r="G24" s="28">
        <f>SUM(D24:F24)</f>
        <v>16003.447</v>
      </c>
      <c r="H24" s="29">
        <f>SUM(H15:H21)</f>
        <v>273.97899999999998</v>
      </c>
      <c r="I24" s="29">
        <f>SUM(I15:I21)</f>
        <v>16277.425999999999</v>
      </c>
      <c r="J24" s="458">
        <f>SUM(J15:J21)</f>
        <v>1898.1000000000001</v>
      </c>
      <c r="K24" s="459">
        <f>SUM(K15:K21)</f>
        <v>10349.6</v>
      </c>
      <c r="L24" s="459">
        <f>SUM(L15:L21)</f>
        <v>2857</v>
      </c>
      <c r="M24" s="460">
        <f>SUM(J24:L24)</f>
        <v>15104.7</v>
      </c>
      <c r="N24" s="461">
        <f>SUM(N15:N21)</f>
        <v>350</v>
      </c>
      <c r="O24" s="461">
        <f>SUM(O15:O21)</f>
        <v>15454.7</v>
      </c>
      <c r="P24" s="26">
        <f>SUM(P15:P21)</f>
        <v>857.5</v>
      </c>
      <c r="Q24" s="27">
        <f>SUM(Q15:Q21)</f>
        <v>5570.3460000000005</v>
      </c>
      <c r="R24" s="27">
        <f>SUM(R15:R21)</f>
        <v>1959.4540000000002</v>
      </c>
      <c r="S24" s="28">
        <f>SUM(P24:R24)</f>
        <v>8387.3000000000011</v>
      </c>
      <c r="T24" s="29">
        <f>SUM(T15:T21)</f>
        <v>123.11799999999999</v>
      </c>
      <c r="U24" s="29">
        <f>SUM(U15:U21)</f>
        <v>8510.4230000000007</v>
      </c>
      <c r="V24" s="26">
        <f>SUM(V15:V21)</f>
        <v>1993</v>
      </c>
      <c r="W24" s="27">
        <f>SUM(W15:W21)</f>
        <v>10349.6</v>
      </c>
      <c r="X24" s="27">
        <f>SUM(X15:X21)</f>
        <v>2947</v>
      </c>
      <c r="Y24" s="28">
        <f>SUM(V24:X24)</f>
        <v>15289.6</v>
      </c>
      <c r="Z24" s="29">
        <f>SUM(Z15:Z21)</f>
        <v>350</v>
      </c>
      <c r="AA24" s="29">
        <f>SUM(AA15:AA21)</f>
        <v>15639.6</v>
      </c>
      <c r="AB24" s="151">
        <f t="shared" si="8"/>
        <v>1.0119639980070787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462" t="s">
        <v>68</v>
      </c>
      <c r="K25" s="463"/>
      <c r="L25" s="463"/>
      <c r="M25" s="464"/>
      <c r="N25" s="464"/>
      <c r="O25" s="46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466" t="s">
        <v>69</v>
      </c>
      <c r="K26" s="467"/>
      <c r="L26" s="467"/>
      <c r="M26" s="468" t="s">
        <v>64</v>
      </c>
      <c r="N26" s="469" t="s">
        <v>67</v>
      </c>
      <c r="O26" s="470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471" t="s">
        <v>54</v>
      </c>
      <c r="K27" s="472" t="s">
        <v>55</v>
      </c>
      <c r="L27" s="473" t="s">
        <v>56</v>
      </c>
      <c r="M27" s="474"/>
      <c r="N27" s="475"/>
      <c r="O27" s="47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/>
      <c r="E28" s="72"/>
      <c r="F28" s="72">
        <v>738.2</v>
      </c>
      <c r="G28" s="73">
        <f>SUM(D28:F28)</f>
        <v>738.2</v>
      </c>
      <c r="H28" s="73">
        <v>186.94499999999999</v>
      </c>
      <c r="I28" s="37">
        <f>G28+H28</f>
        <v>925.14499999999998</v>
      </c>
      <c r="J28" s="477"/>
      <c r="K28" s="478"/>
      <c r="L28" s="478">
        <v>500</v>
      </c>
      <c r="M28" s="479">
        <f>SUM(J28:L28)</f>
        <v>500</v>
      </c>
      <c r="N28" s="479">
        <v>300</v>
      </c>
      <c r="O28" s="480">
        <f>M28+N28</f>
        <v>800</v>
      </c>
      <c r="P28" s="80"/>
      <c r="Q28" s="72"/>
      <c r="R28" s="72">
        <v>104.867</v>
      </c>
      <c r="S28" s="73">
        <f>SUM(P28:R28)</f>
        <v>104.867</v>
      </c>
      <c r="T28" s="73"/>
      <c r="U28" s="37">
        <f>S28+T28</f>
        <v>104.867</v>
      </c>
      <c r="V28" s="80"/>
      <c r="W28" s="72"/>
      <c r="X28" s="72">
        <v>500</v>
      </c>
      <c r="Y28" s="73">
        <f>SUM(V28:X28)</f>
        <v>500</v>
      </c>
      <c r="Z28" s="73">
        <v>300</v>
      </c>
      <c r="AA28" s="37">
        <f>Y28+Z28</f>
        <v>800</v>
      </c>
      <c r="AB28" s="147">
        <f t="shared" ref="AB28:AB41" si="11">(AA28/O28)</f>
        <v>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481">
        <v>12.603999999999999</v>
      </c>
      <c r="E29" s="74">
        <f>170.424+4.6+3.504+9.682+42.444-8.999-20.692-6.8</f>
        <v>194.16299999999998</v>
      </c>
      <c r="F29" s="74">
        <f>207.851+105.434+20.507+14.842+3.933+3.509+24.025+97.822+53.963+40.917+8.9+20.692+6.9</f>
        <v>609.29499999999996</v>
      </c>
      <c r="G29" s="75">
        <f t="shared" ref="G29:G38" si="12">SUM(D29:F29)</f>
        <v>816.0619999999999</v>
      </c>
      <c r="H29" s="76"/>
      <c r="I29" s="14">
        <f t="shared" ref="I29:I38" si="13">G29+H29</f>
        <v>816.0619999999999</v>
      </c>
      <c r="J29" s="482">
        <v>34.200000000000003</v>
      </c>
      <c r="K29" s="483"/>
      <c r="L29" s="483">
        <v>500</v>
      </c>
      <c r="M29" s="484">
        <f t="shared" ref="M29:M38" si="14">SUM(J29:L29)</f>
        <v>534.20000000000005</v>
      </c>
      <c r="N29" s="485"/>
      <c r="O29" s="435">
        <f t="shared" ref="O29:O38" si="15">M29+N29</f>
        <v>534.20000000000005</v>
      </c>
      <c r="P29" s="81">
        <v>11.52</v>
      </c>
      <c r="Q29" s="74">
        <f>64.859+3.376+0.422+36</f>
        <v>104.657</v>
      </c>
      <c r="R29" s="74">
        <f>128.059+59.762+17.581+23.57+5.948+18.765+0.2+10.237+2.901+21.454</f>
        <v>288.47700000000003</v>
      </c>
      <c r="S29" s="75">
        <f t="shared" ref="S29:S38" si="16">SUM(P29:R29)</f>
        <v>404.654</v>
      </c>
      <c r="T29" s="76"/>
      <c r="U29" s="14">
        <f t="shared" ref="U29:U38" si="17">S29+T29</f>
        <v>404.654</v>
      </c>
      <c r="V29" s="81">
        <v>34</v>
      </c>
      <c r="W29" s="74"/>
      <c r="X29" s="74">
        <v>500</v>
      </c>
      <c r="Y29" s="75">
        <f t="shared" ref="Y29:Y38" si="18">SUM(V29:X29)</f>
        <v>534</v>
      </c>
      <c r="Z29" s="76"/>
      <c r="AA29" s="14">
        <f t="shared" ref="AA29:AA38" si="19">Y29+Z29</f>
        <v>534</v>
      </c>
      <c r="AB29" s="147">
        <f t="shared" si="11"/>
        <v>0.99962560838637204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773.65200000000004</v>
      </c>
      <c r="E30" s="77"/>
      <c r="F30" s="77"/>
      <c r="G30" s="75">
        <f t="shared" si="12"/>
        <v>773.65200000000004</v>
      </c>
      <c r="H30" s="75">
        <v>69.914000000000001</v>
      </c>
      <c r="I30" s="14">
        <f t="shared" si="13"/>
        <v>843.56600000000003</v>
      </c>
      <c r="J30" s="486">
        <v>1014.6</v>
      </c>
      <c r="K30" s="487"/>
      <c r="L30" s="488">
        <v>245</v>
      </c>
      <c r="M30" s="484">
        <f t="shared" si="14"/>
        <v>1259.5999999999999</v>
      </c>
      <c r="N30" s="484">
        <v>50</v>
      </c>
      <c r="O30" s="435">
        <f t="shared" si="15"/>
        <v>1309.5999999999999</v>
      </c>
      <c r="P30" s="82">
        <v>477.5</v>
      </c>
      <c r="Q30" s="77"/>
      <c r="R30" s="77"/>
      <c r="S30" s="75">
        <f t="shared" si="16"/>
        <v>477.5</v>
      </c>
      <c r="T30" s="75">
        <v>4.4779999999999998</v>
      </c>
      <c r="U30" s="14">
        <f t="shared" si="17"/>
        <v>481.97800000000001</v>
      </c>
      <c r="V30" s="82">
        <v>1100</v>
      </c>
      <c r="W30" s="77"/>
      <c r="X30" s="77">
        <v>250</v>
      </c>
      <c r="Y30" s="75">
        <f t="shared" si="18"/>
        <v>1350</v>
      </c>
      <c r="Z30" s="75">
        <v>50</v>
      </c>
      <c r="AA30" s="14">
        <f t="shared" si="19"/>
        <v>1400</v>
      </c>
      <c r="AB30" s="147">
        <f t="shared" si="11"/>
        <v>1.0690287110568113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f>570.651-65.4</f>
        <v>505.25099999999998</v>
      </c>
      <c r="E31" s="77">
        <f>0.639+7+5.273+64.678</f>
        <v>77.59</v>
      </c>
      <c r="F31" s="77">
        <f>0.136+64.814+0.42+2.85+202.326+65.4</f>
        <v>335.94600000000003</v>
      </c>
      <c r="G31" s="75">
        <f t="shared" si="12"/>
        <v>918.78700000000003</v>
      </c>
      <c r="H31" s="75"/>
      <c r="I31" s="14">
        <f t="shared" si="13"/>
        <v>918.78700000000003</v>
      </c>
      <c r="J31" s="486">
        <v>495</v>
      </c>
      <c r="K31" s="488"/>
      <c r="L31" s="488">
        <v>310</v>
      </c>
      <c r="M31" s="484">
        <f t="shared" si="14"/>
        <v>805</v>
      </c>
      <c r="N31" s="484"/>
      <c r="O31" s="435">
        <f t="shared" si="15"/>
        <v>805</v>
      </c>
      <c r="P31" s="82">
        <v>385.642</v>
      </c>
      <c r="Q31" s="77">
        <f>0.15+1.9+12.066+8.216</f>
        <v>22.332000000000001</v>
      </c>
      <c r="R31" s="77">
        <v>74.599999999999994</v>
      </c>
      <c r="S31" s="75">
        <f t="shared" si="16"/>
        <v>482.57399999999996</v>
      </c>
      <c r="T31" s="75"/>
      <c r="U31" s="14">
        <f t="shared" si="17"/>
        <v>482.57399999999996</v>
      </c>
      <c r="V31" s="82">
        <v>504.7</v>
      </c>
      <c r="W31" s="77"/>
      <c r="X31" s="77">
        <v>350</v>
      </c>
      <c r="Y31" s="75">
        <f t="shared" si="18"/>
        <v>854.7</v>
      </c>
      <c r="Z31" s="75"/>
      <c r="AA31" s="14">
        <f t="shared" si="19"/>
        <v>854.7</v>
      </c>
      <c r="AB31" s="147">
        <f t="shared" si="11"/>
        <v>1.0617391304347827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499">
        <f>D33+D34</f>
        <v>100</v>
      </c>
      <c r="E32" s="77">
        <f>E33+E34</f>
        <v>8350.6859999999997</v>
      </c>
      <c r="F32" s="77">
        <f>F33+F34</f>
        <v>112.298</v>
      </c>
      <c r="G32" s="75">
        <f t="shared" si="12"/>
        <v>8562.9840000000004</v>
      </c>
      <c r="H32" s="75"/>
      <c r="I32" s="14">
        <f t="shared" si="13"/>
        <v>8562.9840000000004</v>
      </c>
      <c r="J32" s="486">
        <f>J33+J34</f>
        <v>112</v>
      </c>
      <c r="K32" s="488">
        <v>7616.9</v>
      </c>
      <c r="L32" s="488">
        <v>250</v>
      </c>
      <c r="M32" s="484">
        <f t="shared" si="14"/>
        <v>7978.9</v>
      </c>
      <c r="N32" s="484"/>
      <c r="O32" s="435">
        <f t="shared" si="15"/>
        <v>7978.9</v>
      </c>
      <c r="P32" s="83"/>
      <c r="Q32" s="77">
        <f>Q33+Q34</f>
        <v>3902.0770000000002</v>
      </c>
      <c r="R32" s="77"/>
      <c r="S32" s="75">
        <f t="shared" si="16"/>
        <v>3902.0770000000002</v>
      </c>
      <c r="T32" s="75"/>
      <c r="U32" s="14">
        <f t="shared" si="17"/>
        <v>3902.0770000000002</v>
      </c>
      <c r="V32" s="83">
        <f>V33+V34</f>
        <v>112</v>
      </c>
      <c r="W32" s="77">
        <f>W33+W34</f>
        <v>7616.9</v>
      </c>
      <c r="X32" s="77">
        <v>250</v>
      </c>
      <c r="Y32" s="75">
        <f t="shared" si="18"/>
        <v>7978.9</v>
      </c>
      <c r="Z32" s="75"/>
      <c r="AA32" s="14">
        <f t="shared" si="19"/>
        <v>7978.9</v>
      </c>
      <c r="AB32" s="147">
        <f t="shared" si="11"/>
        <v>1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499">
        <v>100</v>
      </c>
      <c r="E33" s="77">
        <f>7058.773+53.613</f>
        <v>7112.3860000000004</v>
      </c>
      <c r="F33" s="77">
        <f>64.746+0.262</f>
        <v>65.007999999999996</v>
      </c>
      <c r="G33" s="75">
        <f t="shared" si="12"/>
        <v>7277.3940000000002</v>
      </c>
      <c r="H33" s="75"/>
      <c r="I33" s="14">
        <f t="shared" si="13"/>
        <v>7277.3940000000002</v>
      </c>
      <c r="J33" s="486"/>
      <c r="K33" s="488">
        <v>7166.9</v>
      </c>
      <c r="L33" s="488">
        <v>150</v>
      </c>
      <c r="M33" s="484">
        <f t="shared" si="14"/>
        <v>7316.9</v>
      </c>
      <c r="N33" s="484"/>
      <c r="O33" s="435">
        <f t="shared" si="15"/>
        <v>7316.9</v>
      </c>
      <c r="P33" s="83"/>
      <c r="Q33" s="77">
        <f>3312.409+12.043</f>
        <v>3324.4520000000002</v>
      </c>
      <c r="R33" s="77"/>
      <c r="S33" s="75">
        <f t="shared" si="16"/>
        <v>3324.4520000000002</v>
      </c>
      <c r="T33" s="75"/>
      <c r="U33" s="14">
        <f t="shared" si="17"/>
        <v>3324.4520000000002</v>
      </c>
      <c r="V33" s="83">
        <v>100</v>
      </c>
      <c r="W33" s="77">
        <v>7166.9</v>
      </c>
      <c r="X33" s="77">
        <v>150</v>
      </c>
      <c r="Y33" s="75">
        <f t="shared" si="18"/>
        <v>7416.9</v>
      </c>
      <c r="Z33" s="75"/>
      <c r="AA33" s="14">
        <f t="shared" si="19"/>
        <v>7416.9</v>
      </c>
      <c r="AB33" s="147">
        <f t="shared" si="11"/>
        <v>1.013666990118766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499"/>
      <c r="E34" s="77">
        <f>1113+144.1-18.8</f>
        <v>1238.3</v>
      </c>
      <c r="F34" s="77">
        <f>28.49+18.8</f>
        <v>47.29</v>
      </c>
      <c r="G34" s="75">
        <f t="shared" si="12"/>
        <v>1285.5899999999999</v>
      </c>
      <c r="H34" s="75"/>
      <c r="I34" s="14">
        <f t="shared" si="13"/>
        <v>1285.5899999999999</v>
      </c>
      <c r="J34" s="486">
        <v>112</v>
      </c>
      <c r="K34" s="488">
        <v>450</v>
      </c>
      <c r="L34" s="488">
        <v>100</v>
      </c>
      <c r="M34" s="484">
        <f>SUM(J34:L34)</f>
        <v>662</v>
      </c>
      <c r="N34" s="484"/>
      <c r="O34" s="435">
        <f t="shared" si="15"/>
        <v>662</v>
      </c>
      <c r="P34" s="83"/>
      <c r="Q34" s="77">
        <f>531.205+46.42</f>
        <v>577.625</v>
      </c>
      <c r="R34" s="77"/>
      <c r="S34" s="75">
        <f t="shared" si="16"/>
        <v>577.625</v>
      </c>
      <c r="T34" s="75"/>
      <c r="U34" s="14">
        <f t="shared" si="17"/>
        <v>577.625</v>
      </c>
      <c r="V34" s="83">
        <v>12</v>
      </c>
      <c r="W34" s="77">
        <v>450</v>
      </c>
      <c r="X34" s="77">
        <v>100</v>
      </c>
      <c r="Y34" s="75">
        <f t="shared" si="18"/>
        <v>562</v>
      </c>
      <c r="Z34" s="75"/>
      <c r="AA34" s="14">
        <f t="shared" si="19"/>
        <v>562</v>
      </c>
      <c r="AB34" s="147">
        <f t="shared" si="11"/>
        <v>0.84894259818731121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499">
        <f>34+0.42</f>
        <v>34.42</v>
      </c>
      <c r="E35" s="77">
        <f>1920.473+691.853+32.686</f>
        <v>2645.0120000000002</v>
      </c>
      <c r="F35" s="77">
        <f>12.127+9.566</f>
        <v>21.693000000000001</v>
      </c>
      <c r="G35" s="75">
        <f>SUM(D35:F35)</f>
        <v>2701.1250000000005</v>
      </c>
      <c r="H35" s="75"/>
      <c r="I35" s="14">
        <f t="shared" si="13"/>
        <v>2701.1250000000005</v>
      </c>
      <c r="J35" s="486">
        <v>35</v>
      </c>
      <c r="K35" s="488">
        <v>2560</v>
      </c>
      <c r="L35" s="488">
        <v>54</v>
      </c>
      <c r="M35" s="484">
        <f t="shared" si="14"/>
        <v>2649</v>
      </c>
      <c r="N35" s="484"/>
      <c r="O35" s="435">
        <f t="shared" si="15"/>
        <v>2649</v>
      </c>
      <c r="P35" s="83"/>
      <c r="Q35" s="77">
        <f>1190.917+14.802</f>
        <v>1205.7189999999998</v>
      </c>
      <c r="R35" s="77"/>
      <c r="S35" s="75">
        <f t="shared" si="16"/>
        <v>1205.7189999999998</v>
      </c>
      <c r="T35" s="75"/>
      <c r="U35" s="14">
        <f t="shared" si="17"/>
        <v>1205.7189999999998</v>
      </c>
      <c r="V35" s="83">
        <v>37</v>
      </c>
      <c r="W35" s="77">
        <v>2560</v>
      </c>
      <c r="X35" s="77">
        <v>54</v>
      </c>
      <c r="Y35" s="75">
        <f t="shared" si="18"/>
        <v>2651</v>
      </c>
      <c r="Z35" s="75"/>
      <c r="AA35" s="14">
        <f t="shared" si="19"/>
        <v>2651</v>
      </c>
      <c r="AB35" s="147">
        <f t="shared" si="11"/>
        <v>1.0007550018875047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/>
      <c r="E36" s="77"/>
      <c r="F36" s="77">
        <v>35.15</v>
      </c>
      <c r="G36" s="75">
        <f>SUM(D36:F36)</f>
        <v>35.15</v>
      </c>
      <c r="H36" s="75"/>
      <c r="I36" s="14">
        <f t="shared" si="13"/>
        <v>35.15</v>
      </c>
      <c r="J36" s="486"/>
      <c r="K36" s="488"/>
      <c r="L36" s="488">
        <v>10</v>
      </c>
      <c r="M36" s="484">
        <f t="shared" si="14"/>
        <v>10</v>
      </c>
      <c r="N36" s="484"/>
      <c r="O36" s="435">
        <f t="shared" si="15"/>
        <v>10</v>
      </c>
      <c r="P36" s="82"/>
      <c r="Q36" s="77"/>
      <c r="R36" s="77">
        <v>10.122</v>
      </c>
      <c r="S36" s="75">
        <f>SUM(P36:R36)</f>
        <v>10.122</v>
      </c>
      <c r="T36" s="75"/>
      <c r="U36" s="14">
        <f t="shared" si="17"/>
        <v>10.122</v>
      </c>
      <c r="V36" s="82"/>
      <c r="W36" s="77"/>
      <c r="X36" s="77">
        <v>10</v>
      </c>
      <c r="Y36" s="75">
        <f t="shared" si="18"/>
        <v>10</v>
      </c>
      <c r="Z36" s="75"/>
      <c r="AA36" s="14">
        <f t="shared" si="19"/>
        <v>10</v>
      </c>
      <c r="AB36" s="147">
        <f t="shared" si="11"/>
        <v>1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205.33199999999999</v>
      </c>
      <c r="E37" s="77"/>
      <c r="F37" s="77">
        <v>429.005</v>
      </c>
      <c r="G37" s="75">
        <f t="shared" si="12"/>
        <v>634.33699999999999</v>
      </c>
      <c r="H37" s="75"/>
      <c r="I37" s="14">
        <f t="shared" si="13"/>
        <v>634.33699999999999</v>
      </c>
      <c r="J37" s="486">
        <v>205.3</v>
      </c>
      <c r="K37" s="488"/>
      <c r="L37" s="488">
        <v>429</v>
      </c>
      <c r="M37" s="484">
        <f t="shared" si="14"/>
        <v>634.29999999999995</v>
      </c>
      <c r="N37" s="484"/>
      <c r="O37" s="435">
        <f t="shared" si="15"/>
        <v>634.29999999999995</v>
      </c>
      <c r="P37" s="82">
        <v>102.666</v>
      </c>
      <c r="Q37" s="77"/>
      <c r="R37" s="77">
        <v>215.828</v>
      </c>
      <c r="S37" s="75">
        <f t="shared" si="16"/>
        <v>318.49400000000003</v>
      </c>
      <c r="T37" s="75"/>
      <c r="U37" s="14">
        <f t="shared" si="17"/>
        <v>318.49400000000003</v>
      </c>
      <c r="V37" s="82">
        <v>205.3</v>
      </c>
      <c r="W37" s="77"/>
      <c r="X37" s="77">
        <v>437.57900000000001</v>
      </c>
      <c r="Y37" s="75">
        <f t="shared" si="18"/>
        <v>642.87900000000002</v>
      </c>
      <c r="Z37" s="75"/>
      <c r="AA37" s="14">
        <f t="shared" si="19"/>
        <v>642.87900000000002</v>
      </c>
      <c r="AB37" s="147">
        <f t="shared" si="11"/>
        <v>1.0135251458300489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351">
        <v>2</v>
      </c>
      <c r="E38" s="351">
        <f>0.21+142.247+12.9+10.6+71.6-2.814-4.779</f>
        <v>229.96400000000003</v>
      </c>
      <c r="F38" s="78">
        <f>580.862+4.779+2.814</f>
        <v>588.45499999999993</v>
      </c>
      <c r="G38" s="75">
        <f t="shared" si="12"/>
        <v>820.41899999999998</v>
      </c>
      <c r="H38" s="79"/>
      <c r="I38" s="23">
        <f t="shared" si="13"/>
        <v>820.41899999999998</v>
      </c>
      <c r="J38" s="489">
        <v>2</v>
      </c>
      <c r="K38" s="490">
        <v>172.7</v>
      </c>
      <c r="L38" s="490">
        <v>559</v>
      </c>
      <c r="M38" s="491">
        <f t="shared" si="14"/>
        <v>733.7</v>
      </c>
      <c r="N38" s="491"/>
      <c r="O38" s="457">
        <f t="shared" si="15"/>
        <v>733.7</v>
      </c>
      <c r="P38" s="84"/>
      <c r="Q38" s="78">
        <v>66.989000000000004</v>
      </c>
      <c r="R38" s="78">
        <f>2.752+16.627+94.604+3.874</f>
        <v>117.857</v>
      </c>
      <c r="S38" s="79">
        <f t="shared" si="16"/>
        <v>184.846</v>
      </c>
      <c r="T38" s="79"/>
      <c r="U38" s="23">
        <f t="shared" si="17"/>
        <v>184.846</v>
      </c>
      <c r="V38" s="84"/>
      <c r="W38" s="78">
        <v>172.7</v>
      </c>
      <c r="X38" s="78">
        <v>595.4</v>
      </c>
      <c r="Y38" s="79">
        <f t="shared" si="18"/>
        <v>768.09999999999991</v>
      </c>
      <c r="Z38" s="79"/>
      <c r="AA38" s="23">
        <f t="shared" si="19"/>
        <v>768.09999999999991</v>
      </c>
      <c r="AB38" s="150">
        <f t="shared" si="11"/>
        <v>1.0468856480850481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1633.259</v>
      </c>
      <c r="E39" s="42">
        <f>SUM(E35:E38)+SUM(E28:E32)</f>
        <v>11497.415000000001</v>
      </c>
      <c r="F39" s="42">
        <f>SUM(F35:F38)+SUM(F28:F32)</f>
        <v>2870.0419999999995</v>
      </c>
      <c r="G39" s="146">
        <f>SUM(D39:F39)</f>
        <v>16000.716</v>
      </c>
      <c r="H39" s="43">
        <f>SUM(H28:H32)+SUM(H35:H38)</f>
        <v>256.85899999999998</v>
      </c>
      <c r="I39" s="44">
        <f>SUM(I35:I38)+SUM(I28:I32)</f>
        <v>16257.575000000003</v>
      </c>
      <c r="J39" s="492">
        <f>SUM(J35:J38)+SUM(J28:J32)</f>
        <v>1898.1</v>
      </c>
      <c r="K39" s="492">
        <f>SUM(K35:K38)+SUM(K28:K32)</f>
        <v>10349.599999999999</v>
      </c>
      <c r="L39" s="492">
        <f>SUM(L35:L38)+SUM(L28:L32)</f>
        <v>2857</v>
      </c>
      <c r="M39" s="493">
        <f>SUM(J39:L39)</f>
        <v>15104.699999999999</v>
      </c>
      <c r="N39" s="494">
        <f>SUM(N28:N32)+SUM(N35:N38)</f>
        <v>350</v>
      </c>
      <c r="O39" s="495">
        <f>SUM(O35:O38)+SUM(O28:O32)</f>
        <v>15454.7</v>
      </c>
      <c r="P39" s="42">
        <f>SUM(P35:P38)+SUM(P28:P32)</f>
        <v>977.32799999999997</v>
      </c>
      <c r="Q39" s="42">
        <f>SUM(Q35:Q38)+SUM(Q28:Q32)</f>
        <v>5301.7740000000003</v>
      </c>
      <c r="R39" s="42">
        <f>SUM(R35:R38)+SUM(R28:R32)</f>
        <v>811.75100000000009</v>
      </c>
      <c r="S39" s="146">
        <f>SUM(P39:R39)</f>
        <v>7090.853000000001</v>
      </c>
      <c r="T39" s="43">
        <f>SUM(T28:T32)+SUM(T35:T38)</f>
        <v>4.4779999999999998</v>
      </c>
      <c r="U39" s="44">
        <f>SUM(U35:U38)+SUM(U28:U32)</f>
        <v>7095.3310000000001</v>
      </c>
      <c r="V39" s="42">
        <f>SUM(V35:V38)+SUM(V28:V32)</f>
        <v>1993</v>
      </c>
      <c r="W39" s="42">
        <f>SUM(W35:W38)+SUM(W28:W32)</f>
        <v>10349.599999999999</v>
      </c>
      <c r="X39" s="42">
        <f>SUM(X35:X38)+SUM(X28:X32)</f>
        <v>2946.9790000000003</v>
      </c>
      <c r="Y39" s="146">
        <f>SUM(V39:X39)</f>
        <v>15289.578999999998</v>
      </c>
      <c r="Z39" s="43">
        <f>SUM(Z28:Z32)+SUM(Z35:Z38)</f>
        <v>350</v>
      </c>
      <c r="AA39" s="44">
        <f>SUM(AA35:AA38)+SUM(AA28:AA32)</f>
        <v>15639.578999999998</v>
      </c>
      <c r="AB39" s="152">
        <f t="shared" si="11"/>
        <v>1.0119626391971372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AA40" si="20">D24-D39</f>
        <v>-5.9999999998581188E-3</v>
      </c>
      <c r="E40" s="109">
        <f t="shared" si="20"/>
        <v>1.8999999998413841E-2</v>
      </c>
      <c r="F40" s="109">
        <f t="shared" si="20"/>
        <v>2.7180000000007567</v>
      </c>
      <c r="G40" s="118">
        <f t="shared" si="20"/>
        <v>2.7309999999997672</v>
      </c>
      <c r="H40" s="118">
        <f t="shared" si="20"/>
        <v>17.120000000000005</v>
      </c>
      <c r="I40" s="119">
        <f t="shared" si="20"/>
        <v>19.85099999999693</v>
      </c>
      <c r="J40" s="109">
        <f t="shared" si="20"/>
        <v>0</v>
      </c>
      <c r="K40" s="109">
        <f t="shared" si="20"/>
        <v>0</v>
      </c>
      <c r="L40" s="109">
        <f t="shared" si="20"/>
        <v>0</v>
      </c>
      <c r="M40" s="496">
        <f t="shared" si="20"/>
        <v>0</v>
      </c>
      <c r="N40" s="496">
        <f t="shared" si="20"/>
        <v>0</v>
      </c>
      <c r="O40" s="497">
        <f t="shared" si="20"/>
        <v>0</v>
      </c>
      <c r="P40" s="109">
        <f t="shared" si="20"/>
        <v>-119.82799999999997</v>
      </c>
      <c r="Q40" s="109">
        <f t="shared" si="20"/>
        <v>268.57200000000012</v>
      </c>
      <c r="R40" s="109">
        <f t="shared" si="20"/>
        <v>1147.703</v>
      </c>
      <c r="S40" s="118">
        <f t="shared" si="20"/>
        <v>1296.4470000000001</v>
      </c>
      <c r="T40" s="118">
        <f t="shared" si="20"/>
        <v>118.64</v>
      </c>
      <c r="U40" s="119">
        <f t="shared" si="20"/>
        <v>1415.0920000000006</v>
      </c>
      <c r="V40" s="109">
        <f t="shared" si="20"/>
        <v>0</v>
      </c>
      <c r="W40" s="109">
        <f t="shared" si="20"/>
        <v>0</v>
      </c>
      <c r="X40" s="109">
        <f t="shared" si="20"/>
        <v>2.099999999973079E-2</v>
      </c>
      <c r="Y40" s="118">
        <f t="shared" si="20"/>
        <v>2.1000000002459274E-2</v>
      </c>
      <c r="Z40" s="118">
        <f t="shared" si="20"/>
        <v>0</v>
      </c>
      <c r="AA40" s="119">
        <f t="shared" si="20"/>
        <v>2.1000000002459274E-2</v>
      </c>
      <c r="AB40" s="153" t="e">
        <f t="shared" si="11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-1290.1490000000031</v>
      </c>
      <c r="J41" s="112"/>
      <c r="K41" s="113"/>
      <c r="L41" s="113"/>
      <c r="M41" s="114"/>
      <c r="N41" s="117"/>
      <c r="O41" s="116">
        <f>O40-J16</f>
        <v>-1714.9</v>
      </c>
      <c r="P41" s="112"/>
      <c r="Q41" s="113"/>
      <c r="R41" s="113"/>
      <c r="S41" s="114"/>
      <c r="T41" s="117"/>
      <c r="U41" s="116">
        <f>U40-P16</f>
        <v>557.59200000000055</v>
      </c>
      <c r="V41" s="112"/>
      <c r="W41" s="113"/>
      <c r="X41" s="113"/>
      <c r="Y41" s="114"/>
      <c r="Z41" s="117"/>
      <c r="AA41" s="116">
        <f>AA40-V16</f>
        <v>-1809.9789999999975</v>
      </c>
      <c r="AB41" s="147">
        <f t="shared" si="11"/>
        <v>1.0554428829669353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>
        <v>205.3</v>
      </c>
      <c r="E44" s="104">
        <v>205.3</v>
      </c>
      <c r="F44" s="105">
        <v>0</v>
      </c>
      <c r="G44" s="49"/>
      <c r="H44" s="49"/>
      <c r="I44" s="50"/>
      <c r="J44" s="94">
        <v>205.3</v>
      </c>
      <c r="K44" s="104">
        <v>205.3</v>
      </c>
      <c r="L44" s="105">
        <v>0</v>
      </c>
      <c r="M44" s="93"/>
      <c r="N44" s="93"/>
      <c r="O44" s="93"/>
      <c r="P44" s="94">
        <v>0</v>
      </c>
      <c r="Q44" s="104">
        <v>0</v>
      </c>
      <c r="R44" s="105">
        <v>0</v>
      </c>
      <c r="S44" s="4"/>
      <c r="T44" s="4"/>
      <c r="U44" s="4"/>
      <c r="V44" s="94">
        <v>205.3</v>
      </c>
      <c r="W44" s="104">
        <v>205.33199999999999</v>
      </c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94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117</v>
      </c>
      <c r="D50" s="85">
        <f>SUM(D51:D54)</f>
        <v>2377.15</v>
      </c>
      <c r="E50" s="85">
        <f t="shared" ref="E50:G50" si="21">SUM(E51:E54)</f>
        <v>1014.6080000000001</v>
      </c>
      <c r="F50" s="85">
        <f t="shared" si="21"/>
        <v>1642.655</v>
      </c>
      <c r="G50" s="85">
        <f t="shared" si="21"/>
        <v>1749.1030000000001</v>
      </c>
      <c r="H50" s="49"/>
      <c r="I50" s="4"/>
      <c r="J50" s="52">
        <v>1692.5</v>
      </c>
      <c r="K50" s="85">
        <v>507.4</v>
      </c>
      <c r="L50" s="85">
        <v>285.3</v>
      </c>
      <c r="M50" s="52">
        <f>J50+K50-L50</f>
        <v>1914.6000000000001</v>
      </c>
      <c r="N50" s="4"/>
      <c r="O50" s="4"/>
      <c r="P50" s="85">
        <f>SUM(P51:P54)</f>
        <v>1749.1</v>
      </c>
      <c r="Q50" s="85">
        <f t="shared" ref="Q50:S50" si="22">SUM(Q51:Q54)</f>
        <v>843.904</v>
      </c>
      <c r="R50" s="85">
        <f t="shared" si="22"/>
        <v>709.72500000000002</v>
      </c>
      <c r="S50" s="85">
        <f t="shared" si="22"/>
        <v>1883.2789999999995</v>
      </c>
      <c r="T50" s="4"/>
      <c r="U50" s="4"/>
      <c r="V50" s="85">
        <f>V51+V52+V53+V54</f>
        <v>1531.127</v>
      </c>
      <c r="W50" s="85">
        <f t="shared" ref="W50:Y50" si="23">W51+W52+W53+W54</f>
        <v>577.4</v>
      </c>
      <c r="X50" s="85">
        <f t="shared" si="23"/>
        <v>305.3</v>
      </c>
      <c r="Y50" s="85">
        <f t="shared" si="23"/>
        <v>1803.2270000000001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85">
        <f>182.758+1664.83</f>
        <v>1847.588</v>
      </c>
      <c r="E51" s="85">
        <v>394.70499999999998</v>
      </c>
      <c r="F51" s="85">
        <f>187+980.458</f>
        <v>1167.4580000000001</v>
      </c>
      <c r="G51" s="52">
        <f t="shared" ref="G51:G54" si="24">D51+E51-F51</f>
        <v>1074.835</v>
      </c>
      <c r="H51" s="49"/>
      <c r="I51" s="4"/>
      <c r="J51" s="52">
        <v>1016</v>
      </c>
      <c r="K51" s="85">
        <v>80</v>
      </c>
      <c r="L51" s="85">
        <v>0</v>
      </c>
      <c r="M51" s="52">
        <f t="shared" ref="M51:M54" si="25">J51+K51-L51</f>
        <v>1096</v>
      </c>
      <c r="N51" s="4"/>
      <c r="O51" s="4"/>
      <c r="P51" s="85">
        <v>1074.8</v>
      </c>
      <c r="Q51" s="85">
        <v>528.90899999999999</v>
      </c>
      <c r="R51" s="85">
        <v>437.822</v>
      </c>
      <c r="S51" s="52">
        <f t="shared" ref="S51:S54" si="26">P51+Q51-R51</f>
        <v>1165.8869999999997</v>
      </c>
      <c r="T51" s="4"/>
      <c r="U51" s="4"/>
      <c r="V51" s="85">
        <v>800</v>
      </c>
      <c r="W51" s="85">
        <v>150</v>
      </c>
      <c r="X51" s="85">
        <v>0</v>
      </c>
      <c r="Y51" s="52">
        <f t="shared" ref="Y51:Y54" si="27">V51+W51-X51</f>
        <v>950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48.44</v>
      </c>
      <c r="E52" s="85">
        <f>287.361+187</f>
        <v>474.36099999999999</v>
      </c>
      <c r="F52" s="85">
        <f>187+205.332</f>
        <v>392.33199999999999</v>
      </c>
      <c r="G52" s="52">
        <f t="shared" si="24"/>
        <v>130.46899999999994</v>
      </c>
      <c r="H52" s="49"/>
      <c r="I52" s="4"/>
      <c r="J52" s="52">
        <v>130.4</v>
      </c>
      <c r="K52" s="85">
        <v>287.39999999999998</v>
      </c>
      <c r="L52" s="85">
        <v>205.3</v>
      </c>
      <c r="M52" s="52">
        <f t="shared" si="25"/>
        <v>212.49999999999994</v>
      </c>
      <c r="N52" s="4"/>
      <c r="O52" s="4"/>
      <c r="P52" s="85">
        <v>130.5</v>
      </c>
      <c r="Q52" s="85">
        <v>245.006</v>
      </c>
      <c r="R52" s="85">
        <v>191.494</v>
      </c>
      <c r="S52" s="52">
        <f t="shared" si="26"/>
        <v>184.01199999999997</v>
      </c>
      <c r="T52" s="4"/>
      <c r="U52" s="4"/>
      <c r="V52" s="85">
        <v>121.506</v>
      </c>
      <c r="W52" s="85">
        <v>287.39999999999998</v>
      </c>
      <c r="X52" s="85">
        <v>205.3</v>
      </c>
      <c r="Y52" s="52">
        <f t="shared" si="27"/>
        <v>203.60599999999994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294.42099999999999</v>
      </c>
      <c r="E53" s="85">
        <v>0</v>
      </c>
      <c r="F53" s="85">
        <v>0</v>
      </c>
      <c r="G53" s="52">
        <f t="shared" si="24"/>
        <v>294.42099999999999</v>
      </c>
      <c r="H53" s="49"/>
      <c r="I53" s="4"/>
      <c r="J53" s="52">
        <v>294.39999999999998</v>
      </c>
      <c r="K53" s="85">
        <v>0</v>
      </c>
      <c r="L53" s="85">
        <v>0</v>
      </c>
      <c r="M53" s="52">
        <f t="shared" si="25"/>
        <v>294.39999999999998</v>
      </c>
      <c r="N53" s="4"/>
      <c r="O53" s="4"/>
      <c r="P53" s="85">
        <v>294.39999999999998</v>
      </c>
      <c r="Q53" s="85">
        <v>3.5</v>
      </c>
      <c r="R53" s="85">
        <v>0</v>
      </c>
      <c r="S53" s="52">
        <f t="shared" si="26"/>
        <v>297.89999999999998</v>
      </c>
      <c r="T53" s="4"/>
      <c r="U53" s="4"/>
      <c r="V53" s="85">
        <v>297.92099999999999</v>
      </c>
      <c r="W53" s="85">
        <v>0</v>
      </c>
      <c r="X53" s="85">
        <v>0</v>
      </c>
      <c r="Y53" s="52">
        <f t="shared" si="27"/>
        <v>297.92099999999999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186.70099999999999</v>
      </c>
      <c r="E54" s="85">
        <v>145.542</v>
      </c>
      <c r="F54" s="85">
        <f>10.865+72</f>
        <v>82.864999999999995</v>
      </c>
      <c r="G54" s="52">
        <f t="shared" si="24"/>
        <v>249.37799999999999</v>
      </c>
      <c r="H54" s="49"/>
      <c r="I54" s="4"/>
      <c r="J54" s="52">
        <v>251.7</v>
      </c>
      <c r="K54" s="85">
        <v>140</v>
      </c>
      <c r="L54" s="85">
        <v>80</v>
      </c>
      <c r="M54" s="52">
        <f t="shared" si="25"/>
        <v>311.7</v>
      </c>
      <c r="N54" s="4"/>
      <c r="O54" s="4"/>
      <c r="P54" s="85">
        <v>249.4</v>
      </c>
      <c r="Q54" s="85">
        <v>66.489000000000004</v>
      </c>
      <c r="R54" s="85">
        <v>80.409000000000006</v>
      </c>
      <c r="S54" s="52">
        <f t="shared" si="26"/>
        <v>235.48000000000002</v>
      </c>
      <c r="T54" s="4"/>
      <c r="U54" s="4"/>
      <c r="V54" s="85">
        <v>311.7</v>
      </c>
      <c r="W54" s="85">
        <v>140</v>
      </c>
      <c r="X54" s="85">
        <v>100</v>
      </c>
      <c r="Y54" s="52">
        <f t="shared" si="27"/>
        <v>351.7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15.13</v>
      </c>
      <c r="E57" s="86">
        <v>15</v>
      </c>
      <c r="F57" s="49"/>
      <c r="G57" s="49"/>
      <c r="H57" s="49"/>
      <c r="I57" s="50"/>
      <c r="J57" s="86">
        <v>15.6</v>
      </c>
      <c r="K57" s="49"/>
      <c r="L57" s="49"/>
      <c r="M57" s="49"/>
      <c r="N57" s="49"/>
      <c r="O57" s="50"/>
      <c r="P57" s="86">
        <v>15</v>
      </c>
      <c r="Q57" s="50"/>
      <c r="R57" s="50"/>
      <c r="S57" s="50"/>
      <c r="T57" s="50"/>
      <c r="U57" s="50"/>
      <c r="V57" s="86">
        <v>15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 t="s">
        <v>157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87"/>
      <c r="B69" s="138"/>
      <c r="C69" s="137"/>
      <c r="D69" s="138"/>
      <c r="E69" s="138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5">
      <c r="A70" s="87"/>
      <c r="B70" s="138"/>
      <c r="C70" s="137"/>
      <c r="D70" s="138"/>
      <c r="E70" s="138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5">
      <c r="A71" s="5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5">
      <c r="A72" s="5"/>
      <c r="B72" s="53" t="s">
        <v>80</v>
      </c>
      <c r="C72" s="120">
        <v>45155</v>
      </c>
      <c r="D72" s="53" t="s">
        <v>76</v>
      </c>
      <c r="E72" s="218" t="s">
        <v>158</v>
      </c>
      <c r="F72" s="218"/>
      <c r="G72" s="218"/>
      <c r="H72" s="53"/>
      <c r="I72" s="53" t="s">
        <v>77</v>
      </c>
      <c r="J72" s="222" t="s">
        <v>159</v>
      </c>
      <c r="K72" s="222"/>
      <c r="L72" s="222"/>
      <c r="M72" s="222"/>
      <c r="N72" s="53"/>
      <c r="O72" s="53"/>
      <c r="P72" s="53"/>
      <c r="Q72" s="53"/>
      <c r="R72" s="53"/>
      <c r="S72" s="53"/>
      <c r="T72" s="53"/>
      <c r="U72" s="53"/>
      <c r="V72" s="4"/>
      <c r="W72" s="4"/>
      <c r="X72" s="4"/>
      <c r="Y72" s="4"/>
      <c r="Z72" s="4"/>
      <c r="AA72" s="4"/>
      <c r="AB72" s="4"/>
      <c r="AC72" s="4"/>
      <c r="AD72" s="4"/>
    </row>
    <row r="73" spans="1:30" ht="7.5" customHeight="1" x14ac:dyDescent="0.25">
      <c r="A73" s="5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A74" s="5"/>
      <c r="B74" s="53"/>
      <c r="C74" s="53"/>
      <c r="D74" s="53" t="s">
        <v>79</v>
      </c>
      <c r="E74" s="55"/>
      <c r="F74" s="55"/>
      <c r="G74" s="55"/>
      <c r="H74" s="53"/>
      <c r="I74" s="53" t="s">
        <v>79</v>
      </c>
      <c r="J74" s="54"/>
      <c r="K74" s="54"/>
      <c r="L74" s="54"/>
      <c r="M74" s="54"/>
      <c r="N74" s="53"/>
      <c r="O74" s="53"/>
      <c r="P74" s="53"/>
      <c r="Q74" s="53"/>
      <c r="R74" s="53"/>
      <c r="S74" s="53"/>
      <c r="T74" s="53"/>
      <c r="U74" s="53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A75" s="5"/>
      <c r="B75" s="53"/>
      <c r="C75" s="53"/>
      <c r="D75" s="53"/>
      <c r="E75" s="55"/>
      <c r="F75" s="55"/>
      <c r="G75" s="55"/>
      <c r="H75" s="53"/>
      <c r="I75" s="53"/>
      <c r="J75" s="54"/>
      <c r="K75" s="54"/>
      <c r="L75" s="54"/>
      <c r="M75" s="54"/>
      <c r="N75" s="53"/>
      <c r="O75" s="53"/>
      <c r="P75" s="53"/>
      <c r="Q75" s="53"/>
      <c r="R75" s="53"/>
      <c r="S75" s="53"/>
      <c r="T75" s="53"/>
      <c r="U75" s="53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5">
      <c r="A76" s="5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5">
      <c r="A77" s="5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4"/>
      <c r="W77" s="4"/>
      <c r="X77" s="4"/>
      <c r="Y77" s="4"/>
      <c r="Z77" s="4"/>
      <c r="AA77" s="4"/>
      <c r="AB77" s="4"/>
      <c r="AC77" s="4"/>
      <c r="AD77" s="4"/>
    </row>
    <row r="78" spans="1:30" hidden="1" x14ac:dyDescent="0.25">
      <c r="AC78" s="3"/>
      <c r="AD78" s="3"/>
    </row>
    <row r="79" spans="1:30" hidden="1" x14ac:dyDescent="0.25"/>
    <row r="80" spans="1:3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64">
    <mergeCell ref="B62:U62"/>
    <mergeCell ref="B63:U63"/>
    <mergeCell ref="E72:G72"/>
    <mergeCell ref="J72:M72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27" priority="3" operator="equal">
      <formula>0</formula>
    </cfRule>
    <cfRule type="containsErrors" dxfId="26" priority="4">
      <formula>ISERROR(AB15)</formula>
    </cfRule>
  </conditionalFormatting>
  <conditionalFormatting sqref="AB28:AB41">
    <cfRule type="cellIs" dxfId="25" priority="1" operator="equal">
      <formula>0</formula>
    </cfRule>
    <cfRule type="containsErrors" dxfId="24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D130"/>
  <sheetViews>
    <sheetView showGridLines="0" zoomScale="90" zoomScaleNormal="90" zoomScaleSheetLayoutView="80" workbookViewId="0">
      <selection activeCell="B33" sqref="B33:AB3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3.140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427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3.2851562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1.7109375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23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4"/>
      <c r="B4" s="4" t="s">
        <v>43</v>
      </c>
      <c r="C4" s="4"/>
      <c r="D4" s="239" t="s">
        <v>111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3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4"/>
      <c r="B6" s="4" t="s">
        <v>44</v>
      </c>
      <c r="C6" s="4"/>
      <c r="D6" s="240">
        <v>46790080</v>
      </c>
      <c r="E6" s="4"/>
      <c r="F6" s="4"/>
      <c r="G6" s="4"/>
      <c r="H6" s="4"/>
      <c r="I6" s="4"/>
      <c r="J6" s="4"/>
      <c r="K6" s="4"/>
      <c r="L6" s="4"/>
      <c r="M6" s="23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23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4"/>
      <c r="B8" s="4" t="s">
        <v>45</v>
      </c>
      <c r="C8" s="4"/>
      <c r="D8" s="242" t="s">
        <v>112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4"/>
      <c r="B10" s="243" t="s">
        <v>37</v>
      </c>
      <c r="C10" s="244" t="s">
        <v>38</v>
      </c>
      <c r="D10" s="245" t="s">
        <v>100</v>
      </c>
      <c r="E10" s="246"/>
      <c r="F10" s="246"/>
      <c r="G10" s="246"/>
      <c r="H10" s="246"/>
      <c r="I10" s="247"/>
      <c r="J10" s="245" t="s">
        <v>101</v>
      </c>
      <c r="K10" s="246"/>
      <c r="L10" s="246"/>
      <c r="M10" s="246"/>
      <c r="N10" s="246"/>
      <c r="O10" s="247"/>
      <c r="P10" s="245" t="s">
        <v>102</v>
      </c>
      <c r="Q10" s="246"/>
      <c r="R10" s="246"/>
      <c r="S10" s="246"/>
      <c r="T10" s="246"/>
      <c r="U10" s="247"/>
      <c r="V10" s="245" t="s">
        <v>103</v>
      </c>
      <c r="W10" s="246"/>
      <c r="X10" s="246"/>
      <c r="Y10" s="246"/>
      <c r="Z10" s="246"/>
      <c r="AA10" s="247"/>
      <c r="AB10" s="248" t="s">
        <v>99</v>
      </c>
      <c r="AC10" s="4"/>
      <c r="AD10" s="4"/>
    </row>
    <row r="11" spans="1:30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254" t="s">
        <v>40</v>
      </c>
      <c r="I11" s="254" t="s">
        <v>61</v>
      </c>
      <c r="J11" s="251" t="s">
        <v>39</v>
      </c>
      <c r="K11" s="252"/>
      <c r="L11" s="252"/>
      <c r="M11" s="253"/>
      <c r="N11" s="254" t="s">
        <v>40</v>
      </c>
      <c r="O11" s="254" t="s">
        <v>61</v>
      </c>
      <c r="P11" s="251" t="s">
        <v>39</v>
      </c>
      <c r="Q11" s="252"/>
      <c r="R11" s="252"/>
      <c r="S11" s="253"/>
      <c r="T11" s="254" t="s">
        <v>40</v>
      </c>
      <c r="U11" s="254" t="s">
        <v>61</v>
      </c>
      <c r="V11" s="251" t="s">
        <v>39</v>
      </c>
      <c r="W11" s="252"/>
      <c r="X11" s="252"/>
      <c r="Y11" s="253"/>
      <c r="Z11" s="254" t="s">
        <v>40</v>
      </c>
      <c r="AA11" s="254" t="s">
        <v>61</v>
      </c>
      <c r="AB11" s="255"/>
      <c r="AC11" s="4"/>
      <c r="AD11" s="4"/>
    </row>
    <row r="12" spans="1:30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9"/>
      <c r="J12" s="257" t="s">
        <v>62</v>
      </c>
      <c r="K12" s="258"/>
      <c r="L12" s="258"/>
      <c r="M12" s="258"/>
      <c r="N12" s="258"/>
      <c r="O12" s="259"/>
      <c r="P12" s="257" t="s">
        <v>62</v>
      </c>
      <c r="Q12" s="258"/>
      <c r="R12" s="258"/>
      <c r="S12" s="258"/>
      <c r="T12" s="258"/>
      <c r="U12" s="259"/>
      <c r="V12" s="257" t="s">
        <v>62</v>
      </c>
      <c r="W12" s="258"/>
      <c r="X12" s="258"/>
      <c r="Y12" s="258"/>
      <c r="Z12" s="258"/>
      <c r="AA12" s="259"/>
      <c r="AB12" s="255"/>
      <c r="AC12" s="4"/>
      <c r="AD12" s="4"/>
    </row>
    <row r="13" spans="1:30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264" t="s">
        <v>63</v>
      </c>
      <c r="H13" s="265" t="s">
        <v>66</v>
      </c>
      <c r="I13" s="266" t="s">
        <v>62</v>
      </c>
      <c r="J13" s="262" t="s">
        <v>57</v>
      </c>
      <c r="K13" s="263"/>
      <c r="L13" s="263"/>
      <c r="M13" s="264" t="s">
        <v>63</v>
      </c>
      <c r="N13" s="265" t="s">
        <v>66</v>
      </c>
      <c r="O13" s="266" t="s">
        <v>62</v>
      </c>
      <c r="P13" s="262" t="s">
        <v>57</v>
      </c>
      <c r="Q13" s="263"/>
      <c r="R13" s="263"/>
      <c r="S13" s="264" t="s">
        <v>63</v>
      </c>
      <c r="T13" s="265" t="s">
        <v>66</v>
      </c>
      <c r="U13" s="266" t="s">
        <v>62</v>
      </c>
      <c r="V13" s="262" t="s">
        <v>57</v>
      </c>
      <c r="W13" s="263"/>
      <c r="X13" s="263"/>
      <c r="Y13" s="264" t="s">
        <v>63</v>
      </c>
      <c r="Z13" s="265" t="s">
        <v>66</v>
      </c>
      <c r="AA13" s="266" t="s">
        <v>62</v>
      </c>
      <c r="AB13" s="255"/>
      <c r="AC13" s="4"/>
      <c r="AD13" s="4"/>
    </row>
    <row r="14" spans="1:30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271"/>
      <c r="H14" s="272"/>
      <c r="I14" s="273"/>
      <c r="J14" s="269" t="s">
        <v>58</v>
      </c>
      <c r="K14" s="270" t="s">
        <v>90</v>
      </c>
      <c r="L14" s="270" t="s">
        <v>59</v>
      </c>
      <c r="M14" s="271"/>
      <c r="N14" s="272"/>
      <c r="O14" s="273"/>
      <c r="P14" s="269" t="s">
        <v>58</v>
      </c>
      <c r="Q14" s="270" t="s">
        <v>90</v>
      </c>
      <c r="R14" s="270" t="s">
        <v>59</v>
      </c>
      <c r="S14" s="271"/>
      <c r="T14" s="272"/>
      <c r="U14" s="273"/>
      <c r="V14" s="269" t="s">
        <v>58</v>
      </c>
      <c r="W14" s="270" t="s">
        <v>90</v>
      </c>
      <c r="X14" s="270" t="s">
        <v>59</v>
      </c>
      <c r="Y14" s="271"/>
      <c r="Z14" s="272"/>
      <c r="AA14" s="273"/>
      <c r="AB14" s="274"/>
      <c r="AC14" s="4"/>
      <c r="AD14" s="4"/>
    </row>
    <row r="15" spans="1:30" x14ac:dyDescent="0.25">
      <c r="A15" s="4"/>
      <c r="B15" s="275" t="s">
        <v>0</v>
      </c>
      <c r="C15" s="276" t="s">
        <v>52</v>
      </c>
      <c r="D15" s="277"/>
      <c r="E15" s="278"/>
      <c r="F15" s="279">
        <v>10870</v>
      </c>
      <c r="G15" s="280">
        <f>SUM(D15:F15)</f>
        <v>10870</v>
      </c>
      <c r="H15" s="281">
        <v>304</v>
      </c>
      <c r="I15" s="282">
        <f>G15+H15</f>
        <v>11174</v>
      </c>
      <c r="J15" s="277"/>
      <c r="K15" s="278"/>
      <c r="L15" s="279">
        <v>8200</v>
      </c>
      <c r="M15" s="280">
        <f t="shared" ref="M15:M23" si="0">SUM(J15:L15)</f>
        <v>8200</v>
      </c>
      <c r="N15" s="281">
        <v>0</v>
      </c>
      <c r="O15" s="282">
        <f>M15+N15</f>
        <v>8200</v>
      </c>
      <c r="P15" s="277"/>
      <c r="Q15" s="278"/>
      <c r="R15" s="279">
        <v>5624</v>
      </c>
      <c r="S15" s="280">
        <f>SUM(P15:R15)</f>
        <v>5624</v>
      </c>
      <c r="T15" s="281">
        <v>885</v>
      </c>
      <c r="U15" s="282">
        <f>S15+T15</f>
        <v>6509</v>
      </c>
      <c r="V15" s="277"/>
      <c r="W15" s="278"/>
      <c r="X15" s="279">
        <v>8550</v>
      </c>
      <c r="Y15" s="280">
        <v>8550</v>
      </c>
      <c r="Z15" s="281">
        <v>400</v>
      </c>
      <c r="AA15" s="282">
        <f>Y15+Z15</f>
        <v>8950</v>
      </c>
      <c r="AB15" s="283">
        <f>(AA15/O15)</f>
        <v>1.0914634146341464</v>
      </c>
      <c r="AC15" s="4"/>
      <c r="AD15" s="4"/>
    </row>
    <row r="16" spans="1:30" x14ac:dyDescent="0.25">
      <c r="A16" s="4"/>
      <c r="B16" s="284" t="s">
        <v>1</v>
      </c>
      <c r="C16" s="285" t="s">
        <v>60</v>
      </c>
      <c r="D16" s="286">
        <v>4894.3999999999996</v>
      </c>
      <c r="E16" s="287"/>
      <c r="F16" s="287"/>
      <c r="G16" s="288">
        <f t="shared" ref="G16:G23" si="1">SUM(D16:F16)</f>
        <v>4894.3999999999996</v>
      </c>
      <c r="H16" s="289"/>
      <c r="I16" s="282">
        <f t="shared" ref="I16:I23" si="2">G16+H16</f>
        <v>4894.3999999999996</v>
      </c>
      <c r="J16" s="286">
        <v>7100</v>
      </c>
      <c r="K16" s="287"/>
      <c r="L16" s="287"/>
      <c r="M16" s="288">
        <f t="shared" si="0"/>
        <v>7100</v>
      </c>
      <c r="N16" s="289"/>
      <c r="O16" s="282">
        <f t="shared" ref="O16:O20" si="3">M16+N16</f>
        <v>7100</v>
      </c>
      <c r="P16" s="286">
        <v>3550</v>
      </c>
      <c r="Q16" s="287"/>
      <c r="R16" s="287"/>
      <c r="S16" s="288">
        <f t="shared" ref="S16:S23" si="4">SUM(P16:R16)</f>
        <v>3550</v>
      </c>
      <c r="T16" s="289"/>
      <c r="U16" s="282">
        <f t="shared" ref="U16:U20" si="5">S16+T16</f>
        <v>3550</v>
      </c>
      <c r="V16" s="286">
        <v>12000</v>
      </c>
      <c r="W16" s="287"/>
      <c r="X16" s="287"/>
      <c r="Y16" s="288">
        <f t="shared" ref="Y16:Y23" si="6">SUM(V16:X16)</f>
        <v>12000</v>
      </c>
      <c r="Z16" s="289"/>
      <c r="AA16" s="282">
        <f t="shared" ref="AA16:AA20" si="7">Y16+Z16</f>
        <v>12000</v>
      </c>
      <c r="AB16" s="283">
        <f t="shared" ref="AB16:AB24" si="8">(AA16/O16)</f>
        <v>1.6901408450704225</v>
      </c>
      <c r="AC16" s="4"/>
      <c r="AD16" s="4"/>
    </row>
    <row r="17" spans="1:30" x14ac:dyDescent="0.25">
      <c r="A17" s="4"/>
      <c r="B17" s="284" t="s">
        <v>3</v>
      </c>
      <c r="C17" s="290" t="s">
        <v>78</v>
      </c>
      <c r="D17" s="58"/>
      <c r="E17" s="291"/>
      <c r="F17" s="291"/>
      <c r="G17" s="288">
        <f t="shared" si="1"/>
        <v>0</v>
      </c>
      <c r="H17" s="292"/>
      <c r="I17" s="282">
        <f t="shared" si="2"/>
        <v>0</v>
      </c>
      <c r="J17" s="58"/>
      <c r="K17" s="291"/>
      <c r="L17" s="291"/>
      <c r="M17" s="288">
        <f t="shared" si="0"/>
        <v>0</v>
      </c>
      <c r="N17" s="292"/>
      <c r="O17" s="282">
        <f t="shared" si="3"/>
        <v>0</v>
      </c>
      <c r="P17" s="58"/>
      <c r="Q17" s="291"/>
      <c r="R17" s="291"/>
      <c r="S17" s="288">
        <f t="shared" si="4"/>
        <v>0</v>
      </c>
      <c r="T17" s="292"/>
      <c r="U17" s="282">
        <f t="shared" si="5"/>
        <v>0</v>
      </c>
      <c r="V17" s="58"/>
      <c r="W17" s="291"/>
      <c r="X17" s="291"/>
      <c r="Y17" s="288">
        <f t="shared" si="6"/>
        <v>0</v>
      </c>
      <c r="Z17" s="292"/>
      <c r="AA17" s="282">
        <f t="shared" si="7"/>
        <v>0</v>
      </c>
      <c r="AB17" s="283" t="e">
        <f t="shared" si="8"/>
        <v>#DIV/0!</v>
      </c>
      <c r="AC17" s="4"/>
      <c r="AD17" s="4"/>
    </row>
    <row r="18" spans="1:30" x14ac:dyDescent="0.25">
      <c r="A18" s="4"/>
      <c r="B18" s="284" t="s">
        <v>5</v>
      </c>
      <c r="C18" s="293" t="s">
        <v>53</v>
      </c>
      <c r="D18" s="294"/>
      <c r="E18" s="60">
        <v>2796.8</v>
      </c>
      <c r="F18" s="291"/>
      <c r="G18" s="288">
        <f t="shared" si="1"/>
        <v>2796.8</v>
      </c>
      <c r="H18" s="281">
        <v>0</v>
      </c>
      <c r="I18" s="282">
        <f t="shared" si="2"/>
        <v>2796.8</v>
      </c>
      <c r="J18" s="294"/>
      <c r="K18" s="60">
        <v>4500</v>
      </c>
      <c r="L18" s="291"/>
      <c r="M18" s="288">
        <f t="shared" si="0"/>
        <v>4500</v>
      </c>
      <c r="N18" s="281"/>
      <c r="O18" s="282">
        <f t="shared" si="3"/>
        <v>4500</v>
      </c>
      <c r="P18" s="294"/>
      <c r="Q18" s="60">
        <v>4520</v>
      </c>
      <c r="R18" s="291"/>
      <c r="S18" s="288">
        <f t="shared" si="4"/>
        <v>4520</v>
      </c>
      <c r="T18" s="281">
        <v>0</v>
      </c>
      <c r="U18" s="282">
        <f t="shared" si="5"/>
        <v>4520</v>
      </c>
      <c r="V18" s="294"/>
      <c r="W18" s="60">
        <v>0</v>
      </c>
      <c r="X18" s="291"/>
      <c r="Y18" s="288">
        <f t="shared" si="6"/>
        <v>0</v>
      </c>
      <c r="Z18" s="281">
        <v>0</v>
      </c>
      <c r="AA18" s="282">
        <f t="shared" si="7"/>
        <v>0</v>
      </c>
      <c r="AB18" s="283">
        <f t="shared" si="8"/>
        <v>0</v>
      </c>
      <c r="AC18" s="4"/>
      <c r="AD18" s="4"/>
    </row>
    <row r="19" spans="1:30" x14ac:dyDescent="0.25">
      <c r="A19" s="4"/>
      <c r="B19" s="284" t="s">
        <v>7</v>
      </c>
      <c r="C19" s="295" t="s">
        <v>46</v>
      </c>
      <c r="D19" s="296"/>
      <c r="E19" s="291"/>
      <c r="F19" s="60">
        <v>380</v>
      </c>
      <c r="G19" s="288">
        <f t="shared" si="1"/>
        <v>380</v>
      </c>
      <c r="H19" s="281">
        <v>0</v>
      </c>
      <c r="I19" s="282">
        <f t="shared" si="2"/>
        <v>380</v>
      </c>
      <c r="J19" s="296"/>
      <c r="K19" s="291"/>
      <c r="L19" s="60">
        <v>380</v>
      </c>
      <c r="M19" s="288">
        <f t="shared" si="0"/>
        <v>380</v>
      </c>
      <c r="N19" s="281"/>
      <c r="O19" s="282">
        <f t="shared" si="3"/>
        <v>380</v>
      </c>
      <c r="P19" s="296"/>
      <c r="Q19" s="291"/>
      <c r="R19" s="60">
        <v>190</v>
      </c>
      <c r="S19" s="288">
        <f t="shared" si="4"/>
        <v>190</v>
      </c>
      <c r="T19" s="281">
        <v>0</v>
      </c>
      <c r="U19" s="282">
        <f t="shared" si="5"/>
        <v>190</v>
      </c>
      <c r="V19" s="296"/>
      <c r="W19" s="291"/>
      <c r="X19" s="60">
        <v>380</v>
      </c>
      <c r="Y19" s="288">
        <f t="shared" si="6"/>
        <v>380</v>
      </c>
      <c r="Z19" s="281">
        <v>0</v>
      </c>
      <c r="AA19" s="282">
        <f t="shared" si="7"/>
        <v>380</v>
      </c>
      <c r="AB19" s="283">
        <f t="shared" si="8"/>
        <v>1</v>
      </c>
      <c r="AC19" s="4"/>
      <c r="AD19" s="4"/>
    </row>
    <row r="20" spans="1:30" x14ac:dyDescent="0.25">
      <c r="A20" s="4"/>
      <c r="B20" s="284" t="s">
        <v>9</v>
      </c>
      <c r="C20" s="297" t="s">
        <v>47</v>
      </c>
      <c r="D20" s="294"/>
      <c r="E20" s="287"/>
      <c r="F20" s="298">
        <v>0</v>
      </c>
      <c r="G20" s="288">
        <v>0</v>
      </c>
      <c r="H20" s="281">
        <v>0</v>
      </c>
      <c r="I20" s="282">
        <f t="shared" si="2"/>
        <v>0</v>
      </c>
      <c r="J20" s="294"/>
      <c r="K20" s="287"/>
      <c r="L20" s="298">
        <v>0</v>
      </c>
      <c r="M20" s="288">
        <f t="shared" si="0"/>
        <v>0</v>
      </c>
      <c r="N20" s="281"/>
      <c r="O20" s="282">
        <f t="shared" si="3"/>
        <v>0</v>
      </c>
      <c r="P20" s="294"/>
      <c r="Q20" s="287"/>
      <c r="R20" s="298">
        <v>0</v>
      </c>
      <c r="S20" s="288">
        <f t="shared" si="4"/>
        <v>0</v>
      </c>
      <c r="T20" s="281">
        <v>0</v>
      </c>
      <c r="U20" s="282">
        <f t="shared" si="5"/>
        <v>0</v>
      </c>
      <c r="V20" s="294"/>
      <c r="W20" s="287"/>
      <c r="X20" s="298">
        <v>0</v>
      </c>
      <c r="Y20" s="288">
        <f t="shared" si="6"/>
        <v>0</v>
      </c>
      <c r="Z20" s="281">
        <v>0</v>
      </c>
      <c r="AA20" s="282">
        <f t="shared" si="7"/>
        <v>0</v>
      </c>
      <c r="AB20" s="283" t="e">
        <f t="shared" si="8"/>
        <v>#DIV/0!</v>
      </c>
      <c r="AC20" s="4"/>
      <c r="AD20" s="4"/>
    </row>
    <row r="21" spans="1:30" x14ac:dyDescent="0.25">
      <c r="A21" s="4"/>
      <c r="B21" s="284" t="s">
        <v>11</v>
      </c>
      <c r="C21" s="299" t="s">
        <v>2</v>
      </c>
      <c r="D21" s="294"/>
      <c r="E21" s="287"/>
      <c r="F21" s="298">
        <v>223</v>
      </c>
      <c r="G21" s="288">
        <f t="shared" si="1"/>
        <v>223</v>
      </c>
      <c r="H21" s="300">
        <v>30</v>
      </c>
      <c r="I21" s="282">
        <f>G21+H21</f>
        <v>253</v>
      </c>
      <c r="J21" s="294"/>
      <c r="K21" s="287"/>
      <c r="L21" s="298">
        <v>150</v>
      </c>
      <c r="M21" s="288">
        <f t="shared" si="0"/>
        <v>150</v>
      </c>
      <c r="N21" s="300"/>
      <c r="O21" s="282">
        <f>M21+N21</f>
        <v>150</v>
      </c>
      <c r="P21" s="294"/>
      <c r="Q21" s="287"/>
      <c r="R21" s="298">
        <v>38</v>
      </c>
      <c r="S21" s="288">
        <f t="shared" si="4"/>
        <v>38</v>
      </c>
      <c r="T21" s="300">
        <v>1</v>
      </c>
      <c r="U21" s="282">
        <f>S21+T21</f>
        <v>39</v>
      </c>
      <c r="V21" s="294"/>
      <c r="W21" s="287"/>
      <c r="X21" s="298">
        <v>100</v>
      </c>
      <c r="Y21" s="288">
        <f t="shared" si="6"/>
        <v>100</v>
      </c>
      <c r="Z21" s="300">
        <v>0</v>
      </c>
      <c r="AA21" s="282">
        <f>Y21+Z21</f>
        <v>100</v>
      </c>
      <c r="AB21" s="283">
        <f t="shared" si="8"/>
        <v>0.66666666666666663</v>
      </c>
      <c r="AC21" s="4"/>
      <c r="AD21" s="4"/>
    </row>
    <row r="22" spans="1:30" x14ac:dyDescent="0.25">
      <c r="A22" s="4"/>
      <c r="B22" s="284" t="s">
        <v>13</v>
      </c>
      <c r="C22" s="299" t="s">
        <v>4</v>
      </c>
      <c r="D22" s="294"/>
      <c r="E22" s="287"/>
      <c r="F22" s="298">
        <v>0</v>
      </c>
      <c r="G22" s="288">
        <f t="shared" si="1"/>
        <v>0</v>
      </c>
      <c r="H22" s="300">
        <v>0</v>
      </c>
      <c r="I22" s="282">
        <f t="shared" si="2"/>
        <v>0</v>
      </c>
      <c r="J22" s="294"/>
      <c r="K22" s="287"/>
      <c r="L22" s="298">
        <v>0</v>
      </c>
      <c r="M22" s="288">
        <f t="shared" si="0"/>
        <v>0</v>
      </c>
      <c r="N22" s="300"/>
      <c r="O22" s="282">
        <f t="shared" ref="O22:O23" si="9">M22+N22</f>
        <v>0</v>
      </c>
      <c r="P22" s="294"/>
      <c r="Q22" s="287"/>
      <c r="R22" s="298">
        <v>0</v>
      </c>
      <c r="S22" s="288">
        <f t="shared" si="4"/>
        <v>0</v>
      </c>
      <c r="T22" s="300">
        <v>0</v>
      </c>
      <c r="U22" s="282">
        <f t="shared" ref="U22:U23" si="10">S22+T22</f>
        <v>0</v>
      </c>
      <c r="V22" s="294"/>
      <c r="W22" s="287"/>
      <c r="X22" s="298">
        <v>0</v>
      </c>
      <c r="Y22" s="288">
        <f t="shared" si="6"/>
        <v>0</v>
      </c>
      <c r="Z22" s="300">
        <v>0</v>
      </c>
      <c r="AA22" s="282">
        <f t="shared" ref="AA22:AA23" si="11">Y22+Z22</f>
        <v>0</v>
      </c>
      <c r="AB22" s="283" t="e">
        <f t="shared" si="8"/>
        <v>#DIV/0!</v>
      </c>
      <c r="AC22" s="4"/>
      <c r="AD22" s="4"/>
    </row>
    <row r="23" spans="1:30" ht="15.75" thickBot="1" x14ac:dyDescent="0.3">
      <c r="A23" s="4"/>
      <c r="B23" s="301" t="s">
        <v>15</v>
      </c>
      <c r="C23" s="302" t="s">
        <v>6</v>
      </c>
      <c r="D23" s="303"/>
      <c r="E23" s="304"/>
      <c r="F23" s="305">
        <v>0</v>
      </c>
      <c r="G23" s="306">
        <f t="shared" si="1"/>
        <v>0</v>
      </c>
      <c r="H23" s="307">
        <v>0</v>
      </c>
      <c r="I23" s="308">
        <f t="shared" si="2"/>
        <v>0</v>
      </c>
      <c r="J23" s="303"/>
      <c r="K23" s="304"/>
      <c r="L23" s="305">
        <v>0</v>
      </c>
      <c r="M23" s="306">
        <f t="shared" si="0"/>
        <v>0</v>
      </c>
      <c r="N23" s="307"/>
      <c r="O23" s="308">
        <f t="shared" si="9"/>
        <v>0</v>
      </c>
      <c r="P23" s="303"/>
      <c r="Q23" s="304"/>
      <c r="R23" s="305">
        <v>0</v>
      </c>
      <c r="S23" s="306">
        <f t="shared" si="4"/>
        <v>0</v>
      </c>
      <c r="T23" s="307">
        <v>0</v>
      </c>
      <c r="U23" s="308">
        <f t="shared" si="10"/>
        <v>0</v>
      </c>
      <c r="V23" s="303"/>
      <c r="W23" s="304"/>
      <c r="X23" s="305">
        <v>0</v>
      </c>
      <c r="Y23" s="306">
        <f t="shared" si="6"/>
        <v>0</v>
      </c>
      <c r="Z23" s="307">
        <v>0</v>
      </c>
      <c r="AA23" s="308">
        <f t="shared" si="11"/>
        <v>0</v>
      </c>
      <c r="AB23" s="309" t="e">
        <f t="shared" si="8"/>
        <v>#DIV/0!</v>
      </c>
      <c r="AC23" s="4"/>
      <c r="AD23" s="4"/>
    </row>
    <row r="24" spans="1:30" ht="15.75" thickBot="1" x14ac:dyDescent="0.3">
      <c r="A24" s="4"/>
      <c r="B24" s="310" t="s">
        <v>17</v>
      </c>
      <c r="C24" s="311" t="s">
        <v>8</v>
      </c>
      <c r="D24" s="312">
        <f>SUM(D15:D21)</f>
        <v>4894.3999999999996</v>
      </c>
      <c r="E24" s="313">
        <f>SUM(E15:E21)</f>
        <v>2796.8</v>
      </c>
      <c r="F24" s="313">
        <f>SUM(F15:F21)</f>
        <v>11473</v>
      </c>
      <c r="G24" s="314">
        <f>SUM(D24:F24)</f>
        <v>19164.2</v>
      </c>
      <c r="H24" s="315">
        <f>SUM(H15:H23)</f>
        <v>334</v>
      </c>
      <c r="I24" s="315">
        <f>SUM(I15:I21)</f>
        <v>19498.2</v>
      </c>
      <c r="J24" s="312">
        <f>SUM(J15:J21)</f>
        <v>7100</v>
      </c>
      <c r="K24" s="313">
        <f>SUM(K15:K21)</f>
        <v>4500</v>
      </c>
      <c r="L24" s="313">
        <f>SUM(L15:L21)</f>
        <v>8730</v>
      </c>
      <c r="M24" s="314">
        <f>SUM(J24:L24)</f>
        <v>20330</v>
      </c>
      <c r="N24" s="315">
        <f>SUM(N15:N21)</f>
        <v>0</v>
      </c>
      <c r="O24" s="315">
        <f>SUM(O15:O21)</f>
        <v>20330</v>
      </c>
      <c r="P24" s="312">
        <f>SUM(P15:P21)</f>
        <v>3550</v>
      </c>
      <c r="Q24" s="313">
        <f>SUM(Q15:Q21)</f>
        <v>4520</v>
      </c>
      <c r="R24" s="313">
        <f>SUM(R15:R21)</f>
        <v>5852</v>
      </c>
      <c r="S24" s="314">
        <f>SUM(P24:R24)</f>
        <v>13922</v>
      </c>
      <c r="T24" s="315">
        <f>SUM(T15:T23)</f>
        <v>886</v>
      </c>
      <c r="U24" s="315">
        <f>SUM(U15:U21)</f>
        <v>14808</v>
      </c>
      <c r="V24" s="312">
        <f>SUM(V15:V21)</f>
        <v>12000</v>
      </c>
      <c r="W24" s="313">
        <f>SUM(W15:W21)</f>
        <v>0</v>
      </c>
      <c r="X24" s="313">
        <f>SUM(X15:X21)</f>
        <v>9030</v>
      </c>
      <c r="Y24" s="314">
        <f>SUM(V24:X24)</f>
        <v>21030</v>
      </c>
      <c r="Z24" s="315">
        <f>SUM(Z15:Z21)</f>
        <v>400</v>
      </c>
      <c r="AA24" s="315">
        <f>SUM(AA15:AA21)</f>
        <v>21430</v>
      </c>
      <c r="AB24" s="316">
        <f t="shared" si="8"/>
        <v>1.0541072306935564</v>
      </c>
      <c r="AC24" s="4"/>
      <c r="AD24" s="4"/>
    </row>
    <row r="25" spans="1:30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2"/>
      <c r="J25" s="319" t="s">
        <v>68</v>
      </c>
      <c r="K25" s="320"/>
      <c r="L25" s="320"/>
      <c r="M25" s="321"/>
      <c r="N25" s="321"/>
      <c r="O25" s="322"/>
      <c r="P25" s="319" t="s">
        <v>68</v>
      </c>
      <c r="Q25" s="320"/>
      <c r="R25" s="320"/>
      <c r="S25" s="321"/>
      <c r="T25" s="321"/>
      <c r="U25" s="322"/>
      <c r="V25" s="319" t="s">
        <v>68</v>
      </c>
      <c r="W25" s="320"/>
      <c r="X25" s="320"/>
      <c r="Y25" s="321"/>
      <c r="Z25" s="321"/>
      <c r="AA25" s="322"/>
      <c r="AB25" s="323" t="s">
        <v>99</v>
      </c>
      <c r="AC25" s="4"/>
      <c r="AD25" s="4"/>
    </row>
    <row r="26" spans="1:30" ht="15.75" thickBot="1" x14ac:dyDescent="0.3">
      <c r="A26" s="4"/>
      <c r="B26" s="324" t="s">
        <v>37</v>
      </c>
      <c r="C26" s="244" t="s">
        <v>38</v>
      </c>
      <c r="D26" s="325" t="s">
        <v>69</v>
      </c>
      <c r="E26" s="326"/>
      <c r="F26" s="326"/>
      <c r="G26" s="264" t="s">
        <v>64</v>
      </c>
      <c r="H26" s="327" t="s">
        <v>67</v>
      </c>
      <c r="I26" s="328" t="s">
        <v>68</v>
      </c>
      <c r="J26" s="325" t="s">
        <v>69</v>
      </c>
      <c r="K26" s="326"/>
      <c r="L26" s="326"/>
      <c r="M26" s="264" t="s">
        <v>64</v>
      </c>
      <c r="N26" s="327" t="s">
        <v>67</v>
      </c>
      <c r="O26" s="328" t="s">
        <v>68</v>
      </c>
      <c r="P26" s="325" t="s">
        <v>69</v>
      </c>
      <c r="Q26" s="326"/>
      <c r="R26" s="326"/>
      <c r="S26" s="264" t="s">
        <v>64</v>
      </c>
      <c r="T26" s="327" t="s">
        <v>67</v>
      </c>
      <c r="U26" s="328" t="s">
        <v>68</v>
      </c>
      <c r="V26" s="325" t="s">
        <v>69</v>
      </c>
      <c r="W26" s="326"/>
      <c r="X26" s="326"/>
      <c r="Y26" s="264" t="s">
        <v>64</v>
      </c>
      <c r="Z26" s="327" t="s">
        <v>67</v>
      </c>
      <c r="AA26" s="328" t="s">
        <v>68</v>
      </c>
      <c r="AB26" s="329"/>
      <c r="AC26" s="4"/>
      <c r="AD26" s="4"/>
    </row>
    <row r="27" spans="1:30" ht="15.75" thickBot="1" x14ac:dyDescent="0.3">
      <c r="A27" s="4"/>
      <c r="B27" s="330"/>
      <c r="C27" s="250"/>
      <c r="D27" s="331" t="s">
        <v>54</v>
      </c>
      <c r="E27" s="332" t="s">
        <v>55</v>
      </c>
      <c r="F27" s="333" t="s">
        <v>56</v>
      </c>
      <c r="G27" s="271"/>
      <c r="H27" s="334"/>
      <c r="I27" s="335"/>
      <c r="J27" s="331" t="s">
        <v>54</v>
      </c>
      <c r="K27" s="332" t="s">
        <v>55</v>
      </c>
      <c r="L27" s="333" t="s">
        <v>56</v>
      </c>
      <c r="M27" s="271"/>
      <c r="N27" s="334"/>
      <c r="O27" s="335"/>
      <c r="P27" s="331" t="s">
        <v>54</v>
      </c>
      <c r="Q27" s="332" t="s">
        <v>55</v>
      </c>
      <c r="R27" s="333" t="s">
        <v>56</v>
      </c>
      <c r="S27" s="271"/>
      <c r="T27" s="334"/>
      <c r="U27" s="335"/>
      <c r="V27" s="331" t="s">
        <v>54</v>
      </c>
      <c r="W27" s="332" t="s">
        <v>55</v>
      </c>
      <c r="X27" s="333" t="s">
        <v>56</v>
      </c>
      <c r="Y27" s="271"/>
      <c r="Z27" s="334"/>
      <c r="AA27" s="335"/>
      <c r="AB27" s="336"/>
      <c r="AC27" s="4"/>
      <c r="AD27" s="4"/>
    </row>
    <row r="28" spans="1:30" x14ac:dyDescent="0.25">
      <c r="A28" s="4"/>
      <c r="B28" s="275" t="s">
        <v>19</v>
      </c>
      <c r="C28" s="276" t="s">
        <v>10</v>
      </c>
      <c r="D28" s="337">
        <v>49</v>
      </c>
      <c r="E28" s="337">
        <v>0</v>
      </c>
      <c r="F28" s="337">
        <v>100</v>
      </c>
      <c r="G28" s="338">
        <f>SUM(D28:F28)</f>
        <v>149</v>
      </c>
      <c r="H28" s="338">
        <v>0</v>
      </c>
      <c r="I28" s="339">
        <f>G28+H28</f>
        <v>149</v>
      </c>
      <c r="J28" s="340">
        <v>0</v>
      </c>
      <c r="K28" s="337">
        <v>0</v>
      </c>
      <c r="L28" s="337">
        <v>200</v>
      </c>
      <c r="M28" s="338">
        <f>SUM(J28:L28)</f>
        <v>200</v>
      </c>
      <c r="N28" s="338"/>
      <c r="O28" s="339">
        <f>M28+N28</f>
        <v>200</v>
      </c>
      <c r="P28" s="340">
        <v>20</v>
      </c>
      <c r="Q28" s="337"/>
      <c r="R28" s="337">
        <v>70</v>
      </c>
      <c r="S28" s="338">
        <f>SUM(P28:R28)</f>
        <v>90</v>
      </c>
      <c r="T28" s="338"/>
      <c r="U28" s="339">
        <f>S28+T28</f>
        <v>90</v>
      </c>
      <c r="V28" s="340">
        <v>50</v>
      </c>
      <c r="W28" s="337">
        <v>0</v>
      </c>
      <c r="X28" s="337">
        <v>100</v>
      </c>
      <c r="Y28" s="338">
        <f>SUM(V28:X28)</f>
        <v>150</v>
      </c>
      <c r="Z28" s="338">
        <v>0</v>
      </c>
      <c r="AA28" s="339">
        <f>Y28+Z28</f>
        <v>150</v>
      </c>
      <c r="AB28" s="283">
        <f t="shared" ref="AB28:AB43" si="12">(AA28/O28)</f>
        <v>0.75</v>
      </c>
      <c r="AC28" s="4"/>
      <c r="AD28" s="4"/>
    </row>
    <row r="29" spans="1:30" x14ac:dyDescent="0.25">
      <c r="A29" s="4"/>
      <c r="B29" s="284" t="s">
        <v>20</v>
      </c>
      <c r="C29" s="299" t="s">
        <v>12</v>
      </c>
      <c r="D29" s="341">
        <v>250</v>
      </c>
      <c r="E29" s="341">
        <v>1500</v>
      </c>
      <c r="F29" s="341">
        <v>5860</v>
      </c>
      <c r="G29" s="342">
        <f t="shared" ref="G29:G40" si="13">SUM(D29:F29)</f>
        <v>7610</v>
      </c>
      <c r="H29" s="342">
        <v>41.1</v>
      </c>
      <c r="I29" s="282">
        <f t="shared" ref="I29:I40" si="14">G29+H29</f>
        <v>7651.1</v>
      </c>
      <c r="J29" s="343">
        <v>1172</v>
      </c>
      <c r="K29" s="341">
        <v>1500</v>
      </c>
      <c r="L29" s="341">
        <v>2368</v>
      </c>
      <c r="M29" s="342">
        <f t="shared" ref="M29:M40" si="15">SUM(J29:L29)</f>
        <v>5040</v>
      </c>
      <c r="N29" s="342"/>
      <c r="O29" s="282">
        <f t="shared" ref="O29:O40" si="16">M29+N29</f>
        <v>5040</v>
      </c>
      <c r="P29" s="343">
        <v>1500</v>
      </c>
      <c r="Q29" s="341"/>
      <c r="R29" s="341">
        <v>2940</v>
      </c>
      <c r="S29" s="342">
        <f t="shared" ref="S29:S40" si="17">SUM(P29:R29)</f>
        <v>4440</v>
      </c>
      <c r="T29" s="342"/>
      <c r="U29" s="282">
        <f t="shared" ref="U29:U40" si="18">S29+T29</f>
        <v>4440</v>
      </c>
      <c r="V29" s="343">
        <v>2700</v>
      </c>
      <c r="W29" s="341">
        <v>0</v>
      </c>
      <c r="X29" s="341">
        <v>4500</v>
      </c>
      <c r="Y29" s="342">
        <f t="shared" ref="Y29:Y40" si="19">SUM(V29:X29)</f>
        <v>7200</v>
      </c>
      <c r="Z29" s="342">
        <v>70</v>
      </c>
      <c r="AA29" s="282">
        <f t="shared" ref="AA29:AA40" si="20">Y29+Z29</f>
        <v>7270</v>
      </c>
      <c r="AB29" s="283">
        <f t="shared" si="12"/>
        <v>1.4424603174603174</v>
      </c>
      <c r="AC29" s="4"/>
      <c r="AD29" s="4"/>
    </row>
    <row r="30" spans="1:30" x14ac:dyDescent="0.25">
      <c r="A30" s="4"/>
      <c r="B30" s="284" t="s">
        <v>22</v>
      </c>
      <c r="C30" s="299" t="s">
        <v>14</v>
      </c>
      <c r="D30" s="341">
        <v>0</v>
      </c>
      <c r="E30" s="341">
        <v>0</v>
      </c>
      <c r="F30" s="341">
        <v>188</v>
      </c>
      <c r="G30" s="342">
        <f t="shared" si="13"/>
        <v>188</v>
      </c>
      <c r="H30" s="342">
        <v>0</v>
      </c>
      <c r="I30" s="282">
        <f t="shared" si="14"/>
        <v>188</v>
      </c>
      <c r="J30" s="343">
        <v>45</v>
      </c>
      <c r="K30" s="341">
        <v>0</v>
      </c>
      <c r="L30" s="341">
        <v>80</v>
      </c>
      <c r="M30" s="342">
        <f t="shared" si="15"/>
        <v>125</v>
      </c>
      <c r="N30" s="342"/>
      <c r="O30" s="282">
        <f t="shared" si="16"/>
        <v>125</v>
      </c>
      <c r="P30" s="343">
        <v>15</v>
      </c>
      <c r="Q30" s="341"/>
      <c r="R30" s="341">
        <v>46</v>
      </c>
      <c r="S30" s="342">
        <f t="shared" si="17"/>
        <v>61</v>
      </c>
      <c r="T30" s="342"/>
      <c r="U30" s="282">
        <f t="shared" si="18"/>
        <v>61</v>
      </c>
      <c r="V30" s="343">
        <v>60</v>
      </c>
      <c r="W30" s="341">
        <v>0</v>
      </c>
      <c r="X30" s="341">
        <v>90</v>
      </c>
      <c r="Y30" s="342">
        <f t="shared" si="19"/>
        <v>150</v>
      </c>
      <c r="Z30" s="342">
        <v>0</v>
      </c>
      <c r="AA30" s="282">
        <f t="shared" si="20"/>
        <v>150</v>
      </c>
      <c r="AB30" s="283">
        <f t="shared" si="12"/>
        <v>1.2</v>
      </c>
      <c r="AC30" s="4"/>
      <c r="AD30" s="4"/>
    </row>
    <row r="31" spans="1:30" x14ac:dyDescent="0.25">
      <c r="A31" s="4"/>
      <c r="B31" s="344" t="s">
        <v>24</v>
      </c>
      <c r="C31" s="299" t="s">
        <v>113</v>
      </c>
      <c r="D31" s="341">
        <v>0</v>
      </c>
      <c r="E31" s="341">
        <v>0</v>
      </c>
      <c r="F31" s="341">
        <v>-5002</v>
      </c>
      <c r="G31" s="342">
        <f t="shared" si="13"/>
        <v>-5002</v>
      </c>
      <c r="H31" s="342">
        <v>0</v>
      </c>
      <c r="I31" s="282">
        <f t="shared" si="14"/>
        <v>-5002</v>
      </c>
      <c r="J31" s="343">
        <v>0</v>
      </c>
      <c r="K31" s="341">
        <v>0</v>
      </c>
      <c r="L31" s="341">
        <v>0</v>
      </c>
      <c r="M31" s="342">
        <f t="shared" si="15"/>
        <v>0</v>
      </c>
      <c r="N31" s="342"/>
      <c r="O31" s="282">
        <f t="shared" si="16"/>
        <v>0</v>
      </c>
      <c r="P31" s="343"/>
      <c r="Q31" s="341"/>
      <c r="R31" s="341">
        <v>-2808</v>
      </c>
      <c r="S31" s="342">
        <f t="shared" si="17"/>
        <v>-2808</v>
      </c>
      <c r="T31" s="342"/>
      <c r="U31" s="282">
        <f t="shared" si="18"/>
        <v>-2808</v>
      </c>
      <c r="V31" s="343">
        <v>0</v>
      </c>
      <c r="W31" s="341">
        <v>0</v>
      </c>
      <c r="X31" s="341">
        <v>-3000</v>
      </c>
      <c r="Y31" s="342">
        <f t="shared" si="19"/>
        <v>-3000</v>
      </c>
      <c r="Z31" s="342">
        <v>0</v>
      </c>
      <c r="AA31" s="282"/>
      <c r="AB31" s="283"/>
      <c r="AC31" s="4"/>
      <c r="AD31" s="4"/>
    </row>
    <row r="32" spans="1:30" x14ac:dyDescent="0.25">
      <c r="A32" s="4"/>
      <c r="B32" s="284" t="s">
        <v>26</v>
      </c>
      <c r="C32" s="299" t="s">
        <v>16</v>
      </c>
      <c r="D32" s="341">
        <v>250</v>
      </c>
      <c r="E32" s="341">
        <v>1296.8</v>
      </c>
      <c r="F32" s="341">
        <v>6267.2</v>
      </c>
      <c r="G32" s="342">
        <f t="shared" si="13"/>
        <v>7814</v>
      </c>
      <c r="H32" s="342">
        <v>0</v>
      </c>
      <c r="I32" s="282">
        <f t="shared" si="14"/>
        <v>7814</v>
      </c>
      <c r="J32" s="343">
        <v>1450</v>
      </c>
      <c r="K32" s="341">
        <v>3000</v>
      </c>
      <c r="L32" s="341">
        <v>2550</v>
      </c>
      <c r="M32" s="342">
        <f t="shared" si="15"/>
        <v>7000</v>
      </c>
      <c r="N32" s="342"/>
      <c r="O32" s="282">
        <f t="shared" si="16"/>
        <v>7000</v>
      </c>
      <c r="P32" s="343">
        <v>583</v>
      </c>
      <c r="Q32" s="341"/>
      <c r="R32" s="341">
        <v>4681</v>
      </c>
      <c r="S32" s="342">
        <f t="shared" si="17"/>
        <v>5264</v>
      </c>
      <c r="T32" s="342"/>
      <c r="U32" s="282">
        <f t="shared" si="18"/>
        <v>5264</v>
      </c>
      <c r="V32" s="343">
        <v>4500</v>
      </c>
      <c r="W32" s="341">
        <v>0</v>
      </c>
      <c r="X32" s="341">
        <v>4700</v>
      </c>
      <c r="Y32" s="342">
        <f t="shared" si="19"/>
        <v>9200</v>
      </c>
      <c r="Z32" s="342">
        <v>250</v>
      </c>
      <c r="AA32" s="282">
        <f t="shared" si="20"/>
        <v>9450</v>
      </c>
      <c r="AB32" s="283">
        <f t="shared" si="12"/>
        <v>1.35</v>
      </c>
      <c r="AC32" s="4"/>
      <c r="AD32" s="4"/>
    </row>
    <row r="33" spans="1:30" x14ac:dyDescent="0.25">
      <c r="A33" s="4"/>
      <c r="B33" s="284" t="s">
        <v>28</v>
      </c>
      <c r="C33" s="299" t="s">
        <v>18</v>
      </c>
      <c r="D33" s="345">
        <v>2400</v>
      </c>
      <c r="E33" s="341">
        <v>0</v>
      </c>
      <c r="F33" s="341">
        <v>2256</v>
      </c>
      <c r="G33" s="342">
        <f t="shared" si="13"/>
        <v>4656</v>
      </c>
      <c r="H33" s="342">
        <v>77.400000000000006</v>
      </c>
      <c r="I33" s="282">
        <f t="shared" si="14"/>
        <v>4733.3999999999996</v>
      </c>
      <c r="J33" s="346">
        <v>2405</v>
      </c>
      <c r="K33" s="341">
        <v>0</v>
      </c>
      <c r="L33" s="341">
        <v>2640</v>
      </c>
      <c r="M33" s="342">
        <f t="shared" si="15"/>
        <v>5045</v>
      </c>
      <c r="N33" s="342"/>
      <c r="O33" s="282">
        <f t="shared" si="16"/>
        <v>5045</v>
      </c>
      <c r="P33" s="346">
        <v>540</v>
      </c>
      <c r="Q33" s="341"/>
      <c r="R33" s="341">
        <v>1738</v>
      </c>
      <c r="S33" s="342">
        <f t="shared" si="17"/>
        <v>2278</v>
      </c>
      <c r="T33" s="342"/>
      <c r="U33" s="282">
        <f t="shared" si="18"/>
        <v>2278</v>
      </c>
      <c r="V33" s="346">
        <v>2400</v>
      </c>
      <c r="W33" s="341">
        <v>0</v>
      </c>
      <c r="X33" s="341">
        <v>2700</v>
      </c>
      <c r="Y33" s="342">
        <f t="shared" si="19"/>
        <v>5100</v>
      </c>
      <c r="Z33" s="342">
        <v>60</v>
      </c>
      <c r="AA33" s="282">
        <f t="shared" si="20"/>
        <v>5160</v>
      </c>
      <c r="AB33" s="283">
        <f t="shared" si="12"/>
        <v>1.0227948463825569</v>
      </c>
      <c r="AC33" s="4"/>
      <c r="AD33" s="4"/>
    </row>
    <row r="34" spans="1:30" x14ac:dyDescent="0.25">
      <c r="A34" s="4"/>
      <c r="B34" s="344" t="s">
        <v>30</v>
      </c>
      <c r="C34" s="295" t="s">
        <v>42</v>
      </c>
      <c r="D34" s="345">
        <v>2400</v>
      </c>
      <c r="E34" s="341">
        <v>0</v>
      </c>
      <c r="F34" s="341">
        <v>2033</v>
      </c>
      <c r="G34" s="342">
        <f t="shared" si="13"/>
        <v>4433</v>
      </c>
      <c r="H34" s="342">
        <v>0</v>
      </c>
      <c r="I34" s="282">
        <f t="shared" si="14"/>
        <v>4433</v>
      </c>
      <c r="J34" s="347">
        <v>2405</v>
      </c>
      <c r="K34" s="348">
        <v>0</v>
      </c>
      <c r="L34" s="348">
        <v>2340</v>
      </c>
      <c r="M34" s="342">
        <f t="shared" si="15"/>
        <v>4745</v>
      </c>
      <c r="N34" s="342"/>
      <c r="O34" s="282">
        <f t="shared" si="16"/>
        <v>4745</v>
      </c>
      <c r="P34" s="347">
        <v>540</v>
      </c>
      <c r="Q34" s="348"/>
      <c r="R34" s="348">
        <v>1687</v>
      </c>
      <c r="S34" s="342">
        <f t="shared" si="17"/>
        <v>2227</v>
      </c>
      <c r="T34" s="342"/>
      <c r="U34" s="282">
        <f t="shared" si="18"/>
        <v>2227</v>
      </c>
      <c r="V34" s="346">
        <v>2400</v>
      </c>
      <c r="W34" s="341">
        <v>0</v>
      </c>
      <c r="X34" s="341">
        <v>2500</v>
      </c>
      <c r="Y34" s="342">
        <f t="shared" si="19"/>
        <v>4900</v>
      </c>
      <c r="Z34" s="342">
        <v>0</v>
      </c>
      <c r="AA34" s="282">
        <f t="shared" si="20"/>
        <v>4900</v>
      </c>
      <c r="AB34" s="283">
        <f t="shared" si="12"/>
        <v>1.0326659641728135</v>
      </c>
      <c r="AC34" s="4"/>
      <c r="AD34" s="4"/>
    </row>
    <row r="35" spans="1:30" x14ac:dyDescent="0.25">
      <c r="A35" s="4"/>
      <c r="B35" s="284" t="s">
        <v>32</v>
      </c>
      <c r="C35" s="349" t="s">
        <v>21</v>
      </c>
      <c r="D35" s="345">
        <v>0</v>
      </c>
      <c r="E35" s="341">
        <v>0</v>
      </c>
      <c r="F35" s="341">
        <v>223</v>
      </c>
      <c r="G35" s="342">
        <f t="shared" si="13"/>
        <v>223</v>
      </c>
      <c r="H35" s="342">
        <v>0</v>
      </c>
      <c r="I35" s="282">
        <f t="shared" si="14"/>
        <v>223</v>
      </c>
      <c r="J35" s="347">
        <v>0</v>
      </c>
      <c r="K35" s="348">
        <v>0</v>
      </c>
      <c r="L35" s="348">
        <v>300</v>
      </c>
      <c r="M35" s="342">
        <f>SUM(J35:L35)</f>
        <v>300</v>
      </c>
      <c r="N35" s="342"/>
      <c r="O35" s="282">
        <f t="shared" si="16"/>
        <v>300</v>
      </c>
      <c r="P35" s="347"/>
      <c r="Q35" s="348"/>
      <c r="R35" s="348">
        <v>51</v>
      </c>
      <c r="S35" s="342">
        <f t="shared" si="17"/>
        <v>51</v>
      </c>
      <c r="T35" s="342"/>
      <c r="U35" s="282">
        <f t="shared" si="18"/>
        <v>51</v>
      </c>
      <c r="V35" s="346">
        <v>0</v>
      </c>
      <c r="W35" s="341">
        <v>0</v>
      </c>
      <c r="X35" s="341">
        <v>200</v>
      </c>
      <c r="Y35" s="342">
        <f t="shared" si="19"/>
        <v>200</v>
      </c>
      <c r="Z35" s="342">
        <v>0</v>
      </c>
      <c r="AA35" s="282">
        <f t="shared" si="20"/>
        <v>200</v>
      </c>
      <c r="AB35" s="283">
        <f t="shared" si="12"/>
        <v>0.66666666666666663</v>
      </c>
      <c r="AC35" s="4"/>
      <c r="AD35" s="4"/>
    </row>
    <row r="36" spans="1:30" x14ac:dyDescent="0.25">
      <c r="A36" s="4"/>
      <c r="B36" s="284" t="s">
        <v>33</v>
      </c>
      <c r="C36" s="299" t="s">
        <v>23</v>
      </c>
      <c r="D36" s="345">
        <v>811</v>
      </c>
      <c r="E36" s="341">
        <v>0</v>
      </c>
      <c r="F36" s="341">
        <v>690</v>
      </c>
      <c r="G36" s="342">
        <f t="shared" si="13"/>
        <v>1501</v>
      </c>
      <c r="H36" s="342">
        <v>26.1</v>
      </c>
      <c r="I36" s="282">
        <f t="shared" si="14"/>
        <v>1527.1</v>
      </c>
      <c r="J36" s="346">
        <v>823</v>
      </c>
      <c r="K36" s="341">
        <v>0</v>
      </c>
      <c r="L36" s="341">
        <v>892</v>
      </c>
      <c r="M36" s="342">
        <f t="shared" si="15"/>
        <v>1715</v>
      </c>
      <c r="N36" s="342"/>
      <c r="O36" s="282">
        <f t="shared" si="16"/>
        <v>1715</v>
      </c>
      <c r="P36" s="346">
        <v>189</v>
      </c>
      <c r="Q36" s="341"/>
      <c r="R36" s="341">
        <v>574</v>
      </c>
      <c r="S36" s="342">
        <f t="shared" si="17"/>
        <v>763</v>
      </c>
      <c r="T36" s="342"/>
      <c r="U36" s="282">
        <f t="shared" si="18"/>
        <v>763</v>
      </c>
      <c r="V36" s="346">
        <v>811</v>
      </c>
      <c r="W36" s="341">
        <v>0</v>
      </c>
      <c r="X36" s="341">
        <v>913</v>
      </c>
      <c r="Y36" s="342">
        <f t="shared" si="19"/>
        <v>1724</v>
      </c>
      <c r="Z36" s="342">
        <v>20</v>
      </c>
      <c r="AA36" s="282">
        <f t="shared" si="20"/>
        <v>1744</v>
      </c>
      <c r="AB36" s="283">
        <f t="shared" si="12"/>
        <v>1.0169096209912536</v>
      </c>
      <c r="AC36" s="4"/>
      <c r="AD36" s="4"/>
    </row>
    <row r="37" spans="1:30" x14ac:dyDescent="0.25">
      <c r="A37" s="4"/>
      <c r="B37" s="344" t="s">
        <v>34</v>
      </c>
      <c r="C37" s="299" t="s">
        <v>25</v>
      </c>
      <c r="D37" s="341">
        <v>0</v>
      </c>
      <c r="E37" s="341">
        <v>0</v>
      </c>
      <c r="F37" s="341">
        <v>13</v>
      </c>
      <c r="G37" s="342">
        <f t="shared" si="13"/>
        <v>13</v>
      </c>
      <c r="H37" s="342">
        <v>0</v>
      </c>
      <c r="I37" s="282">
        <f t="shared" si="14"/>
        <v>13</v>
      </c>
      <c r="J37" s="343">
        <v>0</v>
      </c>
      <c r="K37" s="341">
        <v>0</v>
      </c>
      <c r="L37" s="341">
        <v>0</v>
      </c>
      <c r="M37" s="342">
        <f t="shared" si="15"/>
        <v>0</v>
      </c>
      <c r="N37" s="342"/>
      <c r="O37" s="282">
        <f t="shared" si="16"/>
        <v>0</v>
      </c>
      <c r="P37" s="343">
        <v>9</v>
      </c>
      <c r="Q37" s="341"/>
      <c r="R37" s="341"/>
      <c r="S37" s="342">
        <f t="shared" si="17"/>
        <v>9</v>
      </c>
      <c r="T37" s="342"/>
      <c r="U37" s="282">
        <f t="shared" si="18"/>
        <v>9</v>
      </c>
      <c r="V37" s="343">
        <v>0</v>
      </c>
      <c r="W37" s="341">
        <v>0</v>
      </c>
      <c r="X37" s="341">
        <v>15</v>
      </c>
      <c r="Y37" s="342">
        <f t="shared" si="19"/>
        <v>15</v>
      </c>
      <c r="Z37" s="342">
        <v>0</v>
      </c>
      <c r="AA37" s="282">
        <f t="shared" si="20"/>
        <v>15</v>
      </c>
      <c r="AB37" s="283" t="e">
        <f t="shared" si="12"/>
        <v>#DIV/0!</v>
      </c>
      <c r="AC37" s="4"/>
      <c r="AD37" s="4"/>
    </row>
    <row r="38" spans="1:30" x14ac:dyDescent="0.25">
      <c r="A38" s="4"/>
      <c r="B38" s="284" t="s">
        <v>35</v>
      </c>
      <c r="C38" s="299" t="s">
        <v>27</v>
      </c>
      <c r="D38" s="341">
        <v>920</v>
      </c>
      <c r="E38" s="341">
        <v>0</v>
      </c>
      <c r="F38" s="341">
        <v>0</v>
      </c>
      <c r="G38" s="342">
        <f t="shared" si="13"/>
        <v>920</v>
      </c>
      <c r="H38" s="342">
        <v>0</v>
      </c>
      <c r="I38" s="282">
        <f t="shared" si="14"/>
        <v>920</v>
      </c>
      <c r="J38" s="343">
        <v>960</v>
      </c>
      <c r="K38" s="341">
        <v>0</v>
      </c>
      <c r="L38" s="341">
        <v>0</v>
      </c>
      <c r="M38" s="342">
        <f t="shared" si="15"/>
        <v>960</v>
      </c>
      <c r="N38" s="342"/>
      <c r="O38" s="282">
        <f t="shared" si="16"/>
        <v>960</v>
      </c>
      <c r="P38" s="343">
        <v>511</v>
      </c>
      <c r="Q38" s="341"/>
      <c r="R38" s="341"/>
      <c r="S38" s="342">
        <f t="shared" si="17"/>
        <v>511</v>
      </c>
      <c r="T38" s="342"/>
      <c r="U38" s="282">
        <f t="shared" si="18"/>
        <v>511</v>
      </c>
      <c r="V38" s="343">
        <v>1168</v>
      </c>
      <c r="W38" s="341">
        <v>0</v>
      </c>
      <c r="X38" s="341">
        <v>0</v>
      </c>
      <c r="Y38" s="342">
        <f t="shared" si="19"/>
        <v>1168</v>
      </c>
      <c r="Z38" s="342">
        <v>0</v>
      </c>
      <c r="AA38" s="282">
        <f t="shared" si="20"/>
        <v>1168</v>
      </c>
      <c r="AB38" s="283">
        <f t="shared" si="12"/>
        <v>1.2166666666666666</v>
      </c>
      <c r="AC38" s="4"/>
      <c r="AD38" s="4"/>
    </row>
    <row r="39" spans="1:30" x14ac:dyDescent="0.25">
      <c r="A39" s="4"/>
      <c r="B39" s="284" t="s">
        <v>114</v>
      </c>
      <c r="C39" s="350" t="s">
        <v>115</v>
      </c>
      <c r="D39" s="351">
        <v>0</v>
      </c>
      <c r="E39" s="351">
        <v>0</v>
      </c>
      <c r="F39" s="351">
        <v>-492</v>
      </c>
      <c r="G39" s="342">
        <f t="shared" si="13"/>
        <v>-492</v>
      </c>
      <c r="H39" s="352">
        <v>0</v>
      </c>
      <c r="I39" s="282">
        <f t="shared" si="14"/>
        <v>-492</v>
      </c>
      <c r="J39" s="353">
        <v>0</v>
      </c>
      <c r="K39" s="351">
        <v>0</v>
      </c>
      <c r="L39" s="351">
        <v>0</v>
      </c>
      <c r="M39" s="342">
        <f t="shared" si="15"/>
        <v>0</v>
      </c>
      <c r="N39" s="352"/>
      <c r="O39" s="282">
        <f t="shared" si="16"/>
        <v>0</v>
      </c>
      <c r="P39" s="353"/>
      <c r="Q39" s="351"/>
      <c r="R39" s="351"/>
      <c r="S39" s="342">
        <f t="shared" si="17"/>
        <v>0</v>
      </c>
      <c r="T39" s="352"/>
      <c r="U39" s="282">
        <f t="shared" si="18"/>
        <v>0</v>
      </c>
      <c r="V39" s="353">
        <v>0</v>
      </c>
      <c r="W39" s="351">
        <v>0</v>
      </c>
      <c r="X39" s="351">
        <v>-2000</v>
      </c>
      <c r="Y39" s="342">
        <f t="shared" si="19"/>
        <v>-2000</v>
      </c>
      <c r="Z39" s="352">
        <v>0</v>
      </c>
      <c r="AA39" s="282">
        <f t="shared" si="20"/>
        <v>-2000</v>
      </c>
      <c r="AB39" s="309"/>
      <c r="AC39" s="4"/>
      <c r="AD39" s="4"/>
    </row>
    <row r="40" spans="1:30" ht="15.75" thickBot="1" x14ac:dyDescent="0.3">
      <c r="A40" s="4"/>
      <c r="B40" s="284" t="s">
        <v>48</v>
      </c>
      <c r="C40" s="350" t="s">
        <v>29</v>
      </c>
      <c r="D40" s="351">
        <v>214.4</v>
      </c>
      <c r="E40" s="351">
        <v>0</v>
      </c>
      <c r="F40" s="351">
        <v>1542</v>
      </c>
      <c r="G40" s="342">
        <f t="shared" si="13"/>
        <v>1756.4</v>
      </c>
      <c r="H40" s="352">
        <v>0.1</v>
      </c>
      <c r="I40" s="308">
        <f t="shared" si="14"/>
        <v>1756.5</v>
      </c>
      <c r="J40" s="353">
        <v>245</v>
      </c>
      <c r="K40" s="351">
        <v>0</v>
      </c>
      <c r="L40" s="351">
        <v>0</v>
      </c>
      <c r="M40" s="352">
        <f t="shared" si="15"/>
        <v>245</v>
      </c>
      <c r="N40" s="352"/>
      <c r="O40" s="308">
        <f t="shared" si="16"/>
        <v>245</v>
      </c>
      <c r="P40" s="353">
        <v>183</v>
      </c>
      <c r="Q40" s="351"/>
      <c r="R40" s="351">
        <v>767</v>
      </c>
      <c r="S40" s="352">
        <f t="shared" si="17"/>
        <v>950</v>
      </c>
      <c r="T40" s="352"/>
      <c r="U40" s="308">
        <f t="shared" si="18"/>
        <v>950</v>
      </c>
      <c r="V40" s="353">
        <v>311</v>
      </c>
      <c r="W40" s="351">
        <v>0</v>
      </c>
      <c r="X40" s="351">
        <v>1012</v>
      </c>
      <c r="Y40" s="352">
        <f t="shared" si="19"/>
        <v>1323</v>
      </c>
      <c r="Z40" s="352">
        <v>0</v>
      </c>
      <c r="AA40" s="308">
        <f t="shared" si="20"/>
        <v>1323</v>
      </c>
      <c r="AB40" s="309">
        <f t="shared" si="12"/>
        <v>5.4</v>
      </c>
      <c r="AC40" s="4"/>
      <c r="AD40" s="4"/>
    </row>
    <row r="41" spans="1:30" ht="15.75" thickBot="1" x14ac:dyDescent="0.3">
      <c r="A41" s="4"/>
      <c r="B41" s="310" t="s">
        <v>116</v>
      </c>
      <c r="C41" s="354" t="s">
        <v>31</v>
      </c>
      <c r="D41" s="355">
        <f>SUM(D36:D40)+SUM(D28:D33)</f>
        <v>4894.3999999999996</v>
      </c>
      <c r="E41" s="355">
        <f>SUM(E36:E40)+SUM(E28:E33)</f>
        <v>2796.8</v>
      </c>
      <c r="F41" s="355">
        <f>SUM(F36:F40)+SUM(F28:F33)</f>
        <v>11422.2</v>
      </c>
      <c r="G41" s="356">
        <f>SUM(D41:F41)</f>
        <v>19113.400000000001</v>
      </c>
      <c r="H41" s="357">
        <f>SUM(H28:H33)+SUM(H36:H40)</f>
        <v>144.69999999999999</v>
      </c>
      <c r="I41" s="358">
        <f>SUM(I36:I40)+SUM(I28:I33)</f>
        <v>19258.099999999999</v>
      </c>
      <c r="J41" s="355">
        <f>SUM(J36:J40)+SUM(J28:J33)</f>
        <v>7100</v>
      </c>
      <c r="K41" s="355">
        <f>SUM(K36:K40)+SUM(K28:K33)</f>
        <v>4500</v>
      </c>
      <c r="L41" s="355">
        <f>SUM(L36:L40)+SUM(L28:L33)</f>
        <v>8730</v>
      </c>
      <c r="M41" s="356">
        <f>SUM(J41:L41)</f>
        <v>20330</v>
      </c>
      <c r="N41" s="357">
        <f>SUM(N28:N33)+SUM(N36:N40)</f>
        <v>0</v>
      </c>
      <c r="O41" s="358">
        <f>SUM(O36:O40)+SUM(O28:O33)</f>
        <v>20330</v>
      </c>
      <c r="P41" s="355">
        <f>SUM(P36:P40)+SUM(P28:P33)</f>
        <v>3550</v>
      </c>
      <c r="Q41" s="355">
        <f>SUM(Q36:Q40)+SUM(Q28:Q33)</f>
        <v>0</v>
      </c>
      <c r="R41" s="355">
        <f>SUM(R36:R40)+SUM(R28:R33)</f>
        <v>8008</v>
      </c>
      <c r="S41" s="356">
        <f>SUM(P41:R41)</f>
        <v>11558</v>
      </c>
      <c r="T41" s="357">
        <f>SUM(T28:T33)+SUM(T36:T40)</f>
        <v>0</v>
      </c>
      <c r="U41" s="358">
        <f>SUM(U36:U40)+SUM(U28:U33)</f>
        <v>11558</v>
      </c>
      <c r="V41" s="355">
        <f>SUM(V36:V40)+SUM(V28:V33)</f>
        <v>12000</v>
      </c>
      <c r="W41" s="355">
        <f>SUM(W36:W40)+SUM(W28:W33)</f>
        <v>0</v>
      </c>
      <c r="X41" s="355">
        <f>SUM(X36:X40)+SUM(X28:X33)</f>
        <v>9030</v>
      </c>
      <c r="Y41" s="356">
        <f>SUM(V41:X41)</f>
        <v>21030</v>
      </c>
      <c r="Z41" s="357">
        <f>SUM(Z28:Z33)+SUM(Z36:Z40)</f>
        <v>400</v>
      </c>
      <c r="AA41" s="358">
        <f>SUM(AA36:AA40)+SUM(AA28:AA33)</f>
        <v>24430</v>
      </c>
      <c r="AB41" s="359">
        <f t="shared" si="12"/>
        <v>1.2016724053123462</v>
      </c>
      <c r="AC41" s="4"/>
      <c r="AD41" s="4"/>
    </row>
    <row r="42" spans="1:30" ht="19.5" thickBot="1" x14ac:dyDescent="0.35">
      <c r="A42" s="4"/>
      <c r="B42" s="360" t="s">
        <v>49</v>
      </c>
      <c r="C42" s="361" t="s">
        <v>51</v>
      </c>
      <c r="D42" s="362">
        <f t="shared" ref="D42:T42" si="21">D24-D41</f>
        <v>0</v>
      </c>
      <c r="E42" s="362">
        <f t="shared" si="21"/>
        <v>0</v>
      </c>
      <c r="F42" s="362">
        <f t="shared" si="21"/>
        <v>50.799999999999272</v>
      </c>
      <c r="G42" s="363">
        <f t="shared" si="21"/>
        <v>50.799999999999272</v>
      </c>
      <c r="H42" s="363">
        <f t="shared" si="21"/>
        <v>189.3</v>
      </c>
      <c r="I42" s="364">
        <f t="shared" si="21"/>
        <v>240.10000000000218</v>
      </c>
      <c r="J42" s="362">
        <f t="shared" si="21"/>
        <v>0</v>
      </c>
      <c r="K42" s="362">
        <f t="shared" si="21"/>
        <v>0</v>
      </c>
      <c r="L42" s="362">
        <f t="shared" si="21"/>
        <v>0</v>
      </c>
      <c r="M42" s="363">
        <f t="shared" si="21"/>
        <v>0</v>
      </c>
      <c r="N42" s="363">
        <f t="shared" si="21"/>
        <v>0</v>
      </c>
      <c r="O42" s="364">
        <f t="shared" si="21"/>
        <v>0</v>
      </c>
      <c r="P42" s="362">
        <f t="shared" si="21"/>
        <v>0</v>
      </c>
      <c r="Q42" s="362">
        <f t="shared" si="21"/>
        <v>4520</v>
      </c>
      <c r="R42" s="362">
        <f t="shared" si="21"/>
        <v>-2156</v>
      </c>
      <c r="S42" s="363">
        <f t="shared" si="21"/>
        <v>2364</v>
      </c>
      <c r="T42" s="363">
        <f t="shared" si="21"/>
        <v>886</v>
      </c>
      <c r="U42" s="364">
        <f>U24-U41</f>
        <v>3250</v>
      </c>
      <c r="V42" s="362">
        <f t="shared" ref="V42:Z42" si="22">V24-V41</f>
        <v>0</v>
      </c>
      <c r="W42" s="362">
        <f t="shared" si="22"/>
        <v>0</v>
      </c>
      <c r="X42" s="362">
        <f t="shared" si="22"/>
        <v>0</v>
      </c>
      <c r="Y42" s="363">
        <f t="shared" si="22"/>
        <v>0</v>
      </c>
      <c r="Z42" s="363">
        <f t="shared" si="22"/>
        <v>0</v>
      </c>
      <c r="AA42" s="364">
        <f>AA24-AA41</f>
        <v>-3000</v>
      </c>
      <c r="AB42" s="365" t="e">
        <f t="shared" si="12"/>
        <v>#DIV/0!</v>
      </c>
      <c r="AC42" s="4"/>
      <c r="AD42" s="4"/>
    </row>
    <row r="43" spans="1:30" ht="15.75" thickBot="1" x14ac:dyDescent="0.3">
      <c r="A43" s="4"/>
      <c r="B43" s="366" t="s">
        <v>50</v>
      </c>
      <c r="C43" s="367" t="s">
        <v>65</v>
      </c>
      <c r="D43" s="368"/>
      <c r="E43" s="369"/>
      <c r="F43" s="369"/>
      <c r="G43" s="370"/>
      <c r="H43" s="371"/>
      <c r="I43" s="372">
        <f>I42-D16</f>
        <v>-4654.2999999999975</v>
      </c>
      <c r="J43" s="368"/>
      <c r="K43" s="369"/>
      <c r="L43" s="369"/>
      <c r="M43" s="370"/>
      <c r="N43" s="373"/>
      <c r="O43" s="372">
        <f>O42-J16</f>
        <v>-7100</v>
      </c>
      <c r="P43" s="368"/>
      <c r="Q43" s="369"/>
      <c r="R43" s="369"/>
      <c r="S43" s="370"/>
      <c r="T43" s="373"/>
      <c r="U43" s="372">
        <f>U42-P16</f>
        <v>-300</v>
      </c>
      <c r="V43" s="368"/>
      <c r="W43" s="369"/>
      <c r="X43" s="369"/>
      <c r="Y43" s="370"/>
      <c r="Z43" s="373"/>
      <c r="AA43" s="372">
        <f>AA42-V16</f>
        <v>-15000</v>
      </c>
      <c r="AB43" s="283">
        <f t="shared" si="12"/>
        <v>2.112676056338028</v>
      </c>
      <c r="AC43" s="4"/>
      <c r="AD43" s="4"/>
    </row>
    <row r="44" spans="1:30" ht="8.25" customHeight="1" thickBot="1" x14ac:dyDescent="0.3">
      <c r="A44" s="4"/>
      <c r="B44" s="374"/>
      <c r="C44" s="375"/>
      <c r="D44" s="376"/>
      <c r="E44" s="377"/>
      <c r="F44" s="377"/>
      <c r="G44" s="4"/>
      <c r="H44" s="377"/>
      <c r="I44" s="377"/>
      <c r="J44" s="376"/>
      <c r="K44" s="377"/>
      <c r="L44" s="377"/>
      <c r="M44" s="4"/>
      <c r="N44" s="377"/>
      <c r="O44" s="377"/>
      <c r="P44" s="377"/>
      <c r="Q44" s="377"/>
      <c r="R44" s="377"/>
      <c r="S44" s="377"/>
      <c r="T44" s="377"/>
      <c r="U44" s="377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thickBot="1" x14ac:dyDescent="0.3">
      <c r="A45" s="4"/>
      <c r="B45" s="374"/>
      <c r="C45" s="378" t="s">
        <v>82</v>
      </c>
      <c r="D45" s="106" t="s">
        <v>41</v>
      </c>
      <c r="E45" s="379" t="s">
        <v>83</v>
      </c>
      <c r="F45" s="380" t="s">
        <v>36</v>
      </c>
      <c r="G45" s="377"/>
      <c r="H45" s="377"/>
      <c r="I45" s="381"/>
      <c r="J45" s="106" t="s">
        <v>41</v>
      </c>
      <c r="K45" s="379" t="s">
        <v>83</v>
      </c>
      <c r="L45" s="380" t="s">
        <v>36</v>
      </c>
      <c r="M45" s="377"/>
      <c r="N45" s="377"/>
      <c r="O45" s="377"/>
      <c r="P45" s="106" t="s">
        <v>41</v>
      </c>
      <c r="Q45" s="379" t="s">
        <v>83</v>
      </c>
      <c r="R45" s="380" t="s">
        <v>36</v>
      </c>
      <c r="S45" s="4"/>
      <c r="T45" s="4"/>
      <c r="U45" s="4"/>
      <c r="V45" s="106" t="s">
        <v>41</v>
      </c>
      <c r="W45" s="379" t="s">
        <v>83</v>
      </c>
      <c r="X45" s="380" t="s">
        <v>36</v>
      </c>
      <c r="Y45" s="4"/>
      <c r="Z45" s="4"/>
      <c r="AA45" s="4"/>
      <c r="AB45" s="4"/>
      <c r="AC45" s="4"/>
      <c r="AD45" s="4"/>
    </row>
    <row r="46" spans="1:30" ht="15.75" thickBot="1" x14ac:dyDescent="0.3">
      <c r="A46" s="4"/>
      <c r="B46" s="374"/>
      <c r="C46" s="382"/>
      <c r="D46" s="383"/>
      <c r="E46" s="384"/>
      <c r="F46" s="385">
        <v>0</v>
      </c>
      <c r="G46" s="377"/>
      <c r="H46" s="377"/>
      <c r="I46" s="381"/>
      <c r="J46" s="383"/>
      <c r="K46" s="384"/>
      <c r="L46" s="385">
        <v>0</v>
      </c>
      <c r="M46" s="386"/>
      <c r="N46" s="386"/>
      <c r="O46" s="386"/>
      <c r="P46" s="383"/>
      <c r="Q46" s="384"/>
      <c r="R46" s="385">
        <v>0</v>
      </c>
      <c r="S46" s="4"/>
      <c r="T46" s="4"/>
      <c r="U46" s="4"/>
      <c r="V46" s="383"/>
      <c r="W46" s="384"/>
      <c r="X46" s="385">
        <v>0</v>
      </c>
      <c r="Y46" s="4"/>
      <c r="Z46" s="4"/>
      <c r="AA46" s="4"/>
      <c r="AB46" s="4"/>
      <c r="AC46" s="4"/>
      <c r="AD46" s="4"/>
    </row>
    <row r="47" spans="1:30" ht="8.25" customHeight="1" thickBot="1" x14ac:dyDescent="0.3">
      <c r="A47" s="4"/>
      <c r="B47" s="374"/>
      <c r="C47" s="375"/>
      <c r="D47" s="386"/>
      <c r="E47" s="377"/>
      <c r="F47" s="377"/>
      <c r="G47" s="377"/>
      <c r="H47" s="377"/>
      <c r="I47" s="381"/>
      <c r="J47" s="377"/>
      <c r="K47" s="377"/>
      <c r="L47" s="377"/>
      <c r="M47" s="377"/>
      <c r="N47" s="377"/>
      <c r="O47" s="381"/>
      <c r="P47" s="381"/>
      <c r="Q47" s="381"/>
      <c r="R47" s="381"/>
      <c r="S47" s="381"/>
      <c r="T47" s="381"/>
      <c r="U47" s="381"/>
      <c r="V47" s="4"/>
      <c r="W47" s="4"/>
      <c r="X47" s="4"/>
      <c r="Y47" s="4"/>
      <c r="Z47" s="4"/>
      <c r="AA47" s="4"/>
      <c r="AB47" s="4"/>
      <c r="AC47" s="4"/>
      <c r="AD47" s="4"/>
    </row>
    <row r="48" spans="1:30" ht="37.5" customHeight="1" thickBot="1" x14ac:dyDescent="0.3">
      <c r="A48" s="4"/>
      <c r="B48" s="374"/>
      <c r="C48" s="378" t="s">
        <v>85</v>
      </c>
      <c r="D48" s="95" t="s">
        <v>86</v>
      </c>
      <c r="E48" s="387" t="s">
        <v>84</v>
      </c>
      <c r="F48" s="377"/>
      <c r="G48" s="377"/>
      <c r="H48" s="377"/>
      <c r="I48" s="381"/>
      <c r="J48" s="95" t="s">
        <v>86</v>
      </c>
      <c r="K48" s="387" t="s">
        <v>84</v>
      </c>
      <c r="L48" s="388"/>
      <c r="M48" s="388"/>
      <c r="N48" s="4"/>
      <c r="O48" s="4"/>
      <c r="P48" s="95" t="s">
        <v>86</v>
      </c>
      <c r="Q48" s="387" t="s">
        <v>84</v>
      </c>
      <c r="R48" s="4"/>
      <c r="S48" s="4"/>
      <c r="T48" s="4"/>
      <c r="U48" s="4"/>
      <c r="V48" s="95" t="s">
        <v>86</v>
      </c>
      <c r="W48" s="387" t="s">
        <v>84</v>
      </c>
      <c r="X48" s="4"/>
      <c r="Y48" s="4"/>
      <c r="Z48" s="4"/>
      <c r="AA48" s="4"/>
      <c r="AB48" s="4"/>
      <c r="AC48" s="4"/>
      <c r="AD48" s="4"/>
    </row>
    <row r="49" spans="1:30" ht="15.75" thickBot="1" x14ac:dyDescent="0.3">
      <c r="A49" s="4"/>
      <c r="B49" s="389"/>
      <c r="C49" s="390"/>
      <c r="D49" s="383">
        <v>0</v>
      </c>
      <c r="E49" s="391">
        <v>0</v>
      </c>
      <c r="F49" s="377"/>
      <c r="G49" s="377"/>
      <c r="H49" s="377"/>
      <c r="I49" s="381"/>
      <c r="J49" s="383">
        <v>0</v>
      </c>
      <c r="K49" s="391">
        <v>0</v>
      </c>
      <c r="L49" s="392"/>
      <c r="M49" s="392"/>
      <c r="N49" s="4"/>
      <c r="O49" s="4"/>
      <c r="P49" s="383">
        <v>0</v>
      </c>
      <c r="Q49" s="391">
        <v>0</v>
      </c>
      <c r="R49" s="4"/>
      <c r="S49" s="4"/>
      <c r="T49" s="4"/>
      <c r="U49" s="4"/>
      <c r="V49" s="383">
        <v>0</v>
      </c>
      <c r="W49" s="391">
        <v>0</v>
      </c>
      <c r="X49" s="4"/>
      <c r="Y49" s="4"/>
      <c r="Z49" s="4"/>
      <c r="AA49" s="4"/>
      <c r="AB49" s="4"/>
      <c r="AC49" s="4"/>
      <c r="AD49" s="4"/>
    </row>
    <row r="50" spans="1:30" x14ac:dyDescent="0.25">
      <c r="A50" s="4"/>
      <c r="B50" s="389"/>
      <c r="C50" s="375"/>
      <c r="D50" s="377"/>
      <c r="E50" s="377"/>
      <c r="F50" s="377"/>
      <c r="G50" s="377"/>
      <c r="H50" s="377"/>
      <c r="I50" s="381"/>
      <c r="J50" s="377"/>
      <c r="K50" s="377"/>
      <c r="L50" s="377"/>
      <c r="M50" s="377"/>
      <c r="N50" s="377"/>
      <c r="O50" s="381"/>
      <c r="P50" s="381"/>
      <c r="Q50" s="381"/>
      <c r="R50" s="381"/>
      <c r="S50" s="381"/>
      <c r="T50" s="381"/>
      <c r="U50" s="381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25">
      <c r="A51" s="4"/>
      <c r="B51" s="389"/>
      <c r="C51" s="393" t="s">
        <v>81</v>
      </c>
      <c r="D51" s="394" t="s">
        <v>72</v>
      </c>
      <c r="E51" s="394" t="s">
        <v>73</v>
      </c>
      <c r="F51" s="394" t="s">
        <v>91</v>
      </c>
      <c r="G51" s="394" t="s">
        <v>93</v>
      </c>
      <c r="H51" s="377"/>
      <c r="I51" s="4"/>
      <c r="J51" s="394" t="s">
        <v>72</v>
      </c>
      <c r="K51" s="394" t="s">
        <v>73</v>
      </c>
      <c r="L51" s="394" t="s">
        <v>91</v>
      </c>
      <c r="M51" s="394" t="s">
        <v>94</v>
      </c>
      <c r="N51" s="4"/>
      <c r="O51" s="4"/>
      <c r="P51" s="394" t="s">
        <v>72</v>
      </c>
      <c r="Q51" s="394" t="s">
        <v>73</v>
      </c>
      <c r="R51" s="394" t="s">
        <v>91</v>
      </c>
      <c r="S51" s="394" t="s">
        <v>94</v>
      </c>
      <c r="T51" s="4"/>
      <c r="U51" s="4"/>
      <c r="V51" s="394" t="s">
        <v>95</v>
      </c>
      <c r="W51" s="394" t="s">
        <v>73</v>
      </c>
      <c r="X51" s="394" t="s">
        <v>91</v>
      </c>
      <c r="Y51" s="394" t="s">
        <v>94</v>
      </c>
      <c r="Z51" s="4"/>
      <c r="AA51" s="4"/>
      <c r="AB51" s="4"/>
      <c r="AC51" s="4"/>
      <c r="AD51" s="4"/>
    </row>
    <row r="52" spans="1:30" x14ac:dyDescent="0.25">
      <c r="A52" s="4"/>
      <c r="B52" s="389"/>
      <c r="C52" s="395" t="s">
        <v>117</v>
      </c>
      <c r="D52" s="396"/>
      <c r="E52" s="396"/>
      <c r="F52" s="396"/>
      <c r="G52" s="397">
        <f>D52+E52-F52</f>
        <v>0</v>
      </c>
      <c r="H52" s="377"/>
      <c r="I52" s="4"/>
      <c r="J52" s="396"/>
      <c r="K52" s="396"/>
      <c r="L52" s="396"/>
      <c r="M52" s="397">
        <f>J52+K52-L52</f>
        <v>0</v>
      </c>
      <c r="N52" s="4"/>
      <c r="O52" s="4"/>
      <c r="P52" s="396"/>
      <c r="Q52" s="396"/>
      <c r="R52" s="396"/>
      <c r="S52" s="397">
        <f>P52+Q52-R52</f>
        <v>0</v>
      </c>
      <c r="T52" s="4"/>
      <c r="U52" s="4"/>
      <c r="V52" s="396"/>
      <c r="W52" s="396"/>
      <c r="X52" s="396"/>
      <c r="Y52" s="397">
        <f>V52+W52-X52</f>
        <v>0</v>
      </c>
      <c r="Z52" s="4"/>
      <c r="AA52" s="4"/>
      <c r="AB52" s="4"/>
      <c r="AC52" s="4"/>
      <c r="AD52" s="4"/>
    </row>
    <row r="53" spans="1:30" x14ac:dyDescent="0.25">
      <c r="A53" s="4"/>
      <c r="B53" s="389"/>
      <c r="C53" s="395" t="s">
        <v>70</v>
      </c>
      <c r="D53" s="396">
        <v>4371.3999999999996</v>
      </c>
      <c r="E53" s="396">
        <v>111.6</v>
      </c>
      <c r="F53" s="396">
        <v>0</v>
      </c>
      <c r="G53" s="397">
        <f t="shared" ref="G53:G56" si="23">D53+E53-F53</f>
        <v>4483</v>
      </c>
      <c r="H53" s="377"/>
      <c r="I53" s="4"/>
      <c r="J53" s="396">
        <v>4483</v>
      </c>
      <c r="K53" s="396">
        <v>240.5</v>
      </c>
      <c r="L53" s="396">
        <v>0</v>
      </c>
      <c r="M53" s="397">
        <f t="shared" ref="M53:M56" si="24">J53+K53-L53</f>
        <v>4723.5</v>
      </c>
      <c r="N53" s="4"/>
      <c r="O53" s="4"/>
      <c r="P53" s="396">
        <v>4483</v>
      </c>
      <c r="Q53" s="396">
        <v>240.5</v>
      </c>
      <c r="R53" s="396">
        <v>0</v>
      </c>
      <c r="S53" s="397">
        <f t="shared" ref="S53:S56" si="25">P53+Q53-R53</f>
        <v>4723.5</v>
      </c>
      <c r="T53" s="4"/>
      <c r="U53" s="4"/>
      <c r="V53" s="396">
        <v>4723.5</v>
      </c>
      <c r="W53" s="396">
        <v>0</v>
      </c>
      <c r="X53" s="396">
        <v>0</v>
      </c>
      <c r="Y53" s="397">
        <f t="shared" ref="Y53:Y56" si="26">V53+W53-X53</f>
        <v>4723.5</v>
      </c>
      <c r="Z53" s="4"/>
      <c r="AA53" s="4"/>
      <c r="AB53" s="4"/>
      <c r="AC53" s="4"/>
      <c r="AD53" s="4"/>
    </row>
    <row r="54" spans="1:30" x14ac:dyDescent="0.25">
      <c r="A54" s="4"/>
      <c r="B54" s="389"/>
      <c r="C54" s="395" t="s">
        <v>71</v>
      </c>
      <c r="D54" s="396">
        <v>3660.4</v>
      </c>
      <c r="E54" s="396">
        <v>743.5</v>
      </c>
      <c r="F54" s="396">
        <v>727.5</v>
      </c>
      <c r="G54" s="397">
        <f t="shared" si="23"/>
        <v>3676.3999999999996</v>
      </c>
      <c r="H54" s="377"/>
      <c r="I54" s="4"/>
      <c r="J54" s="396">
        <v>3676.4</v>
      </c>
      <c r="K54" s="396">
        <v>511</v>
      </c>
      <c r="L54" s="396">
        <v>958.7</v>
      </c>
      <c r="M54" s="397">
        <f t="shared" si="24"/>
        <v>3228.7</v>
      </c>
      <c r="N54" s="4"/>
      <c r="O54" s="4"/>
      <c r="P54" s="396">
        <v>3676.4</v>
      </c>
      <c r="Q54" s="396">
        <v>1040</v>
      </c>
      <c r="R54" s="396">
        <v>958.7</v>
      </c>
      <c r="S54" s="397">
        <f t="shared" si="25"/>
        <v>3757.7</v>
      </c>
      <c r="T54" s="4"/>
      <c r="U54" s="4"/>
      <c r="V54" s="396">
        <v>3757.7</v>
      </c>
      <c r="W54" s="396">
        <v>1168</v>
      </c>
      <c r="X54" s="396">
        <v>1500</v>
      </c>
      <c r="Y54" s="397">
        <f t="shared" si="26"/>
        <v>3425.7</v>
      </c>
      <c r="Z54" s="4"/>
      <c r="AA54" s="4"/>
      <c r="AB54" s="4"/>
      <c r="AC54" s="4"/>
      <c r="AD54" s="4"/>
    </row>
    <row r="55" spans="1:30" x14ac:dyDescent="0.25">
      <c r="A55" s="4"/>
      <c r="B55" s="389"/>
      <c r="C55" s="395" t="s">
        <v>88</v>
      </c>
      <c r="D55" s="396">
        <v>1381.6</v>
      </c>
      <c r="E55" s="396">
        <v>27.9</v>
      </c>
      <c r="F55" s="396">
        <v>0</v>
      </c>
      <c r="G55" s="397">
        <f t="shared" si="23"/>
        <v>1409.5</v>
      </c>
      <c r="H55" s="377"/>
      <c r="I55" s="4"/>
      <c r="J55" s="396">
        <v>1409.5</v>
      </c>
      <c r="K55" s="396">
        <v>0</v>
      </c>
      <c r="L55" s="396">
        <v>0</v>
      </c>
      <c r="M55" s="397">
        <f t="shared" si="24"/>
        <v>1409.5</v>
      </c>
      <c r="N55" s="4"/>
      <c r="O55" s="4"/>
      <c r="P55" s="396">
        <v>1409.5</v>
      </c>
      <c r="Q55" s="396">
        <v>0</v>
      </c>
      <c r="R55" s="396">
        <v>0</v>
      </c>
      <c r="S55" s="397">
        <f t="shared" si="25"/>
        <v>1409.5</v>
      </c>
      <c r="T55" s="4"/>
      <c r="U55" s="4"/>
      <c r="V55" s="396">
        <v>1409.5</v>
      </c>
      <c r="W55" s="396">
        <v>0</v>
      </c>
      <c r="X55" s="396">
        <v>0</v>
      </c>
      <c r="Y55" s="397">
        <f t="shared" si="26"/>
        <v>1409.5</v>
      </c>
      <c r="Z55" s="4"/>
      <c r="AA55" s="4"/>
      <c r="AB55" s="4"/>
      <c r="AC55" s="4"/>
      <c r="AD55" s="4"/>
    </row>
    <row r="56" spans="1:30" x14ac:dyDescent="0.25">
      <c r="A56" s="4"/>
      <c r="B56" s="389"/>
      <c r="C56" s="398" t="s">
        <v>89</v>
      </c>
      <c r="D56" s="396">
        <v>177.9</v>
      </c>
      <c r="E56" s="396">
        <v>90</v>
      </c>
      <c r="F56" s="396">
        <v>141.69999999999999</v>
      </c>
      <c r="G56" s="397">
        <f t="shared" si="23"/>
        <v>126.19999999999999</v>
      </c>
      <c r="H56" s="377"/>
      <c r="I56" s="4"/>
      <c r="J56" s="396">
        <v>126.2</v>
      </c>
      <c r="K56" s="396">
        <v>44.9</v>
      </c>
      <c r="L56" s="396">
        <v>60.199999999999996</v>
      </c>
      <c r="M56" s="397">
        <f t="shared" si="24"/>
        <v>110.9</v>
      </c>
      <c r="N56" s="4"/>
      <c r="O56" s="4"/>
      <c r="P56" s="396">
        <v>126.2</v>
      </c>
      <c r="Q56" s="396">
        <v>90</v>
      </c>
      <c r="R56" s="396">
        <v>120</v>
      </c>
      <c r="S56" s="397">
        <f t="shared" si="25"/>
        <v>96.199999999999989</v>
      </c>
      <c r="T56" s="4"/>
      <c r="U56" s="4"/>
      <c r="V56" s="396">
        <v>96.2</v>
      </c>
      <c r="W56" s="396">
        <v>90</v>
      </c>
      <c r="X56" s="396">
        <v>90</v>
      </c>
      <c r="Y56" s="397">
        <f t="shared" si="26"/>
        <v>96.199999999999989</v>
      </c>
      <c r="Z56" s="4"/>
      <c r="AA56" s="4"/>
      <c r="AB56" s="4"/>
      <c r="AC56" s="4"/>
      <c r="AD56" s="4"/>
    </row>
    <row r="57" spans="1:30" ht="10.5" customHeight="1" x14ac:dyDescent="0.25">
      <c r="A57" s="4"/>
      <c r="B57" s="389"/>
      <c r="C57" s="375"/>
      <c r="D57" s="377"/>
      <c r="E57" s="377"/>
      <c r="F57" s="377"/>
      <c r="G57" s="377"/>
      <c r="H57" s="37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4"/>
      <c r="B58" s="389"/>
      <c r="C58" s="393" t="s">
        <v>74</v>
      </c>
      <c r="D58" s="394" t="s">
        <v>75</v>
      </c>
      <c r="E58" s="394" t="s">
        <v>96</v>
      </c>
      <c r="F58" s="377"/>
      <c r="G58" s="377"/>
      <c r="H58" s="377"/>
      <c r="I58" s="381"/>
      <c r="J58" s="394" t="s">
        <v>97</v>
      </c>
      <c r="K58" s="377"/>
      <c r="L58" s="377"/>
      <c r="M58" s="377"/>
      <c r="N58" s="377"/>
      <c r="O58" s="381"/>
      <c r="P58" s="394" t="s">
        <v>98</v>
      </c>
      <c r="Q58" s="381"/>
      <c r="R58" s="381"/>
      <c r="S58" s="381"/>
      <c r="T58" s="381"/>
      <c r="U58" s="381"/>
      <c r="V58" s="394" t="s">
        <v>97</v>
      </c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4"/>
      <c r="B59" s="389"/>
      <c r="C59" s="395"/>
      <c r="D59" s="399">
        <v>9</v>
      </c>
      <c r="E59" s="399">
        <v>9</v>
      </c>
      <c r="F59" s="377"/>
      <c r="G59" s="377"/>
      <c r="H59" s="377"/>
      <c r="I59" s="381"/>
      <c r="J59" s="399">
        <v>9</v>
      </c>
      <c r="K59" s="377"/>
      <c r="L59" s="377"/>
      <c r="M59" s="377"/>
      <c r="N59" s="377"/>
      <c r="O59" s="381"/>
      <c r="P59" s="399">
        <v>9</v>
      </c>
      <c r="Q59" s="381"/>
      <c r="R59" s="381"/>
      <c r="S59" s="381"/>
      <c r="T59" s="381"/>
      <c r="U59" s="381"/>
      <c r="V59" s="399">
        <v>9</v>
      </c>
      <c r="W59" s="4"/>
      <c r="X59" s="4"/>
      <c r="Y59" s="4"/>
      <c r="Z59" s="4"/>
      <c r="AA59" s="4"/>
      <c r="AB59" s="4"/>
      <c r="AC59" s="4"/>
      <c r="AD59" s="4"/>
    </row>
    <row r="60" spans="1:30" x14ac:dyDescent="0.25">
      <c r="A60" s="4"/>
      <c r="B60" s="389"/>
      <c r="C60" s="375"/>
      <c r="D60" s="377"/>
      <c r="E60" s="377"/>
      <c r="F60" s="377"/>
      <c r="G60" s="377"/>
      <c r="H60" s="377"/>
      <c r="I60" s="381"/>
      <c r="J60" s="377"/>
      <c r="K60" s="377"/>
      <c r="L60" s="377"/>
      <c r="M60" s="377"/>
      <c r="N60" s="377"/>
      <c r="O60" s="381"/>
      <c r="P60" s="381"/>
      <c r="Q60" s="381"/>
      <c r="R60" s="381"/>
      <c r="S60" s="381"/>
      <c r="T60" s="381"/>
      <c r="U60" s="381"/>
      <c r="V60" s="4"/>
      <c r="W60" s="4"/>
      <c r="X60" s="4"/>
      <c r="Y60" s="4"/>
      <c r="Z60" s="4"/>
      <c r="AA60" s="4"/>
      <c r="AB60" s="4"/>
      <c r="AC60" s="4"/>
      <c r="AD60" s="4"/>
    </row>
    <row r="61" spans="1:30" x14ac:dyDescent="0.25">
      <c r="A61" s="4"/>
      <c r="B61" s="400" t="s">
        <v>92</v>
      </c>
      <c r="C61" s="401"/>
      <c r="D61" s="402"/>
      <c r="E61" s="402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3"/>
      <c r="W61" s="403"/>
      <c r="X61" s="403"/>
      <c r="Y61" s="403"/>
      <c r="Z61" s="403"/>
      <c r="AA61" s="403"/>
      <c r="AB61" s="404"/>
      <c r="AC61" s="4"/>
      <c r="AD61" s="4"/>
    </row>
    <row r="62" spans="1:30" x14ac:dyDescent="0.25">
      <c r="A62" s="4"/>
      <c r="B62" s="405" t="s">
        <v>118</v>
      </c>
      <c r="C62" s="406"/>
      <c r="M62"/>
      <c r="AB62" s="407"/>
      <c r="AC62" s="4"/>
      <c r="AD62" s="4"/>
    </row>
    <row r="63" spans="1:30" x14ac:dyDescent="0.25">
      <c r="A63" s="4"/>
      <c r="B63" s="408" t="s">
        <v>119</v>
      </c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AB63" s="407"/>
      <c r="AC63" s="4"/>
      <c r="AD63" s="4"/>
    </row>
    <row r="64" spans="1:30" x14ac:dyDescent="0.25">
      <c r="A64" s="4"/>
      <c r="B64" s="408" t="s">
        <v>120</v>
      </c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09"/>
      <c r="Q64" s="409"/>
      <c r="R64" s="409"/>
      <c r="S64" s="409"/>
      <c r="T64" s="409"/>
      <c r="U64" s="409"/>
      <c r="AB64" s="407"/>
      <c r="AC64" s="4"/>
      <c r="AD64" s="4"/>
    </row>
    <row r="65" spans="1:30" x14ac:dyDescent="0.25">
      <c r="A65" s="4"/>
      <c r="B65" s="408" t="s">
        <v>121</v>
      </c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AB65" s="407"/>
      <c r="AC65" s="4"/>
      <c r="AD65" s="4"/>
    </row>
    <row r="66" spans="1:30" x14ac:dyDescent="0.25">
      <c r="A66" s="4"/>
      <c r="B66" s="410" t="s">
        <v>122</v>
      </c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AB66" s="407"/>
      <c r="AC66" s="4"/>
      <c r="AD66" s="4"/>
    </row>
    <row r="67" spans="1:30" x14ac:dyDescent="0.25">
      <c r="A67" s="4"/>
      <c r="B67" s="410" t="s">
        <v>123</v>
      </c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AB67" s="407"/>
      <c r="AC67" s="4"/>
      <c r="AD67" s="4"/>
    </row>
    <row r="68" spans="1:30" x14ac:dyDescent="0.25">
      <c r="A68" s="4"/>
      <c r="B68" s="410" t="s">
        <v>124</v>
      </c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AB68" s="407"/>
      <c r="AC68" s="4"/>
      <c r="AD68" s="4"/>
    </row>
    <row r="69" spans="1:30" x14ac:dyDescent="0.25">
      <c r="A69" s="4"/>
      <c r="B69" s="41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AB69" s="407"/>
      <c r="AC69" s="4"/>
      <c r="AD69" s="4"/>
    </row>
    <row r="70" spans="1:30" x14ac:dyDescent="0.25">
      <c r="A70" s="4"/>
      <c r="B70" s="41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AB70" s="407"/>
      <c r="AC70" s="4"/>
      <c r="AD70" s="4"/>
    </row>
    <row r="71" spans="1:30" x14ac:dyDescent="0.25">
      <c r="A71" s="4"/>
      <c r="B71" s="410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AB71" s="407"/>
      <c r="AC71" s="4"/>
      <c r="AD71" s="4"/>
    </row>
    <row r="72" spans="1:30" x14ac:dyDescent="0.25">
      <c r="A72" s="4"/>
      <c r="B72" s="41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AB72" s="407"/>
      <c r="AC72" s="4"/>
      <c r="AD72" s="4"/>
    </row>
    <row r="73" spans="1:30" x14ac:dyDescent="0.25">
      <c r="A73" s="4"/>
      <c r="B73" s="410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AB73" s="407"/>
      <c r="AC73" s="4"/>
      <c r="AD73" s="4"/>
    </row>
    <row r="74" spans="1:30" x14ac:dyDescent="0.25">
      <c r="A74" s="4"/>
      <c r="B74" s="41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AB74" s="407"/>
      <c r="AC74" s="4"/>
      <c r="AD74" s="4"/>
    </row>
    <row r="75" spans="1:30" x14ac:dyDescent="0.25">
      <c r="A75" s="4"/>
      <c r="B75" s="41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AB75" s="407"/>
      <c r="AC75" s="4"/>
      <c r="AD75" s="4"/>
    </row>
    <row r="76" spans="1:30" x14ac:dyDescent="0.25">
      <c r="A76" s="4"/>
      <c r="B76" s="41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AB76" s="407"/>
      <c r="AC76" s="4"/>
      <c r="AD76" s="4"/>
    </row>
    <row r="77" spans="1:30" x14ac:dyDescent="0.25">
      <c r="A77" s="4"/>
      <c r="B77" s="410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AB77" s="407"/>
      <c r="AC77" s="4"/>
      <c r="AD77" s="4"/>
    </row>
    <row r="78" spans="1:30" x14ac:dyDescent="0.25">
      <c r="A78" s="4"/>
      <c r="B78" s="41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AB78" s="407"/>
      <c r="AC78" s="4"/>
      <c r="AD78" s="4"/>
    </row>
    <row r="79" spans="1:30" x14ac:dyDescent="0.25">
      <c r="A79" s="4"/>
      <c r="B79" s="41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AB79" s="407"/>
      <c r="AC79" s="4"/>
      <c r="AD79" s="4"/>
    </row>
    <row r="80" spans="1:30" x14ac:dyDescent="0.25">
      <c r="A80" s="4"/>
      <c r="B80" s="410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AB80" s="407"/>
      <c r="AC80" s="4"/>
      <c r="AD80" s="4"/>
    </row>
    <row r="81" spans="1:30" x14ac:dyDescent="0.25">
      <c r="A81" s="4"/>
      <c r="B81" s="410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AB81" s="407"/>
      <c r="AC81" s="4"/>
      <c r="AD81" s="4"/>
    </row>
    <row r="82" spans="1:30" x14ac:dyDescent="0.25">
      <c r="A82" s="4"/>
      <c r="B82" s="41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AB82" s="407"/>
      <c r="AC82" s="4"/>
      <c r="AD82" s="4"/>
    </row>
    <row r="83" spans="1:30" x14ac:dyDescent="0.25">
      <c r="A83" s="4"/>
      <c r="B83" s="408"/>
      <c r="C83" s="409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09"/>
      <c r="P83" s="409"/>
      <c r="Q83" s="409"/>
      <c r="R83" s="409"/>
      <c r="S83" s="409"/>
      <c r="T83" s="409"/>
      <c r="U83" s="409"/>
      <c r="AB83" s="407"/>
      <c r="AC83" s="4"/>
      <c r="AD83" s="4"/>
    </row>
    <row r="84" spans="1:30" x14ac:dyDescent="0.25">
      <c r="A84" s="4"/>
      <c r="B84" s="411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AB84" s="407"/>
      <c r="AC84" s="4"/>
      <c r="AD84" s="4"/>
    </row>
    <row r="85" spans="1:30" x14ac:dyDescent="0.25">
      <c r="A85" s="4"/>
      <c r="B85" s="411"/>
      <c r="C85" s="412"/>
      <c r="D85" s="412"/>
      <c r="E85" s="412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AB85" s="407"/>
      <c r="AC85" s="4"/>
      <c r="AD85" s="4"/>
    </row>
    <row r="86" spans="1:30" x14ac:dyDescent="0.25">
      <c r="A86" s="4"/>
      <c r="B86" s="411"/>
      <c r="C86" s="413"/>
      <c r="D86" s="412"/>
      <c r="E86" s="412"/>
      <c r="F86" s="240"/>
      <c r="G86" s="240"/>
      <c r="H86" s="240"/>
      <c r="I86" s="240"/>
      <c r="J86" s="240"/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AB86" s="407"/>
      <c r="AC86" s="4"/>
      <c r="AD86" s="4"/>
    </row>
    <row r="87" spans="1:30" x14ac:dyDescent="0.25">
      <c r="A87" s="4"/>
      <c r="B87" s="411"/>
      <c r="C87" s="413"/>
      <c r="D87" s="412"/>
      <c r="E87" s="412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AB87" s="407"/>
      <c r="AC87" s="4"/>
      <c r="AD87" s="4"/>
    </row>
    <row r="88" spans="1:30" x14ac:dyDescent="0.25">
      <c r="A88" s="4"/>
      <c r="B88" s="414"/>
      <c r="C88" s="415"/>
      <c r="D88" s="416"/>
      <c r="E88" s="416"/>
      <c r="F88" s="417"/>
      <c r="G88" s="417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06"/>
      <c r="W88" s="406"/>
      <c r="X88" s="406"/>
      <c r="Y88" s="406"/>
      <c r="Z88" s="406"/>
      <c r="AA88" s="406"/>
      <c r="AB88" s="418"/>
      <c r="AC88" s="4"/>
      <c r="AD88" s="4"/>
    </row>
    <row r="89" spans="1:30" x14ac:dyDescent="0.25">
      <c r="A89" s="4"/>
      <c r="B89" s="419"/>
      <c r="C89" s="420"/>
      <c r="D89" s="419"/>
      <c r="E89" s="419"/>
      <c r="F89" s="421"/>
      <c r="G89" s="421"/>
      <c r="H89" s="421"/>
      <c r="I89" s="421"/>
      <c r="J89" s="421"/>
      <c r="K89" s="421"/>
      <c r="L89" s="421"/>
      <c r="M89" s="421"/>
      <c r="N89" s="421"/>
      <c r="O89" s="421"/>
      <c r="P89" s="421"/>
      <c r="Q89" s="421"/>
      <c r="R89" s="421"/>
      <c r="S89" s="421"/>
      <c r="T89" s="421"/>
      <c r="U89" s="421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4"/>
      <c r="B90" s="419"/>
      <c r="C90" s="420"/>
      <c r="D90" s="419"/>
      <c r="E90" s="419"/>
      <c r="F90" s="421"/>
      <c r="G90" s="421"/>
      <c r="H90" s="421"/>
      <c r="I90" s="421"/>
      <c r="J90" s="421"/>
      <c r="K90" s="421"/>
      <c r="L90" s="421"/>
      <c r="M90" s="421"/>
      <c r="N90" s="421"/>
      <c r="O90" s="421"/>
      <c r="P90" s="421"/>
      <c r="Q90" s="421"/>
      <c r="R90" s="421"/>
      <c r="S90" s="421"/>
      <c r="T90" s="421"/>
      <c r="U90" s="421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4"/>
      <c r="B91" s="422"/>
      <c r="C91" s="422"/>
      <c r="D91" s="422"/>
      <c r="E91" s="422"/>
      <c r="F91" s="422"/>
      <c r="G91" s="422"/>
      <c r="H91" s="422"/>
      <c r="I91" s="422"/>
      <c r="J91" s="422"/>
      <c r="K91" s="422"/>
      <c r="L91" s="422"/>
      <c r="M91" s="422"/>
      <c r="N91" s="422"/>
      <c r="O91" s="422"/>
      <c r="P91" s="422"/>
      <c r="Q91" s="422"/>
      <c r="R91" s="422"/>
      <c r="S91" s="422"/>
      <c r="T91" s="422"/>
      <c r="U91" s="422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4"/>
      <c r="B92" s="422" t="s">
        <v>80</v>
      </c>
      <c r="C92" s="423">
        <v>45154</v>
      </c>
      <c r="D92" s="422" t="s">
        <v>76</v>
      </c>
      <c r="E92" s="409" t="s">
        <v>125</v>
      </c>
      <c r="F92" s="409"/>
      <c r="G92" s="409"/>
      <c r="H92" s="422"/>
      <c r="I92" s="422" t="s">
        <v>77</v>
      </c>
      <c r="J92" s="424" t="s">
        <v>126</v>
      </c>
      <c r="K92" s="424"/>
      <c r="L92" s="424"/>
      <c r="M92" s="424"/>
      <c r="N92" s="422"/>
      <c r="O92" s="422"/>
      <c r="P92" s="422"/>
      <c r="Q92" s="422"/>
      <c r="R92" s="422"/>
      <c r="S92" s="422"/>
      <c r="T92" s="422"/>
      <c r="U92" s="422"/>
      <c r="V92" s="4"/>
      <c r="W92" s="4"/>
      <c r="X92" s="4"/>
      <c r="Y92" s="4"/>
      <c r="Z92" s="4"/>
      <c r="AA92" s="4"/>
      <c r="AB92" s="4"/>
      <c r="AC92" s="4"/>
      <c r="AD92" s="4"/>
    </row>
    <row r="93" spans="1:30" ht="7.5" customHeight="1" x14ac:dyDescent="0.25">
      <c r="A93" s="4"/>
      <c r="B93" s="422"/>
      <c r="C93" s="422"/>
      <c r="D93" s="422"/>
      <c r="E93" s="422"/>
      <c r="F93" s="422"/>
      <c r="G93" s="422"/>
      <c r="H93" s="422"/>
      <c r="I93" s="422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4"/>
      <c r="B94" s="422"/>
      <c r="C94" s="422"/>
      <c r="D94" s="422" t="s">
        <v>79</v>
      </c>
      <c r="E94" s="425"/>
      <c r="F94" s="425"/>
      <c r="G94" s="425"/>
      <c r="H94" s="422"/>
      <c r="I94" s="422" t="s">
        <v>79</v>
      </c>
      <c r="J94" s="426"/>
      <c r="K94" s="426"/>
      <c r="L94" s="426"/>
      <c r="M94" s="426"/>
      <c r="N94" s="422"/>
      <c r="O94" s="422"/>
      <c r="P94" s="422"/>
      <c r="Q94" s="422"/>
      <c r="R94" s="422"/>
      <c r="S94" s="422"/>
      <c r="T94" s="422"/>
      <c r="U94" s="422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4"/>
      <c r="B95" s="422"/>
      <c r="C95" s="422"/>
      <c r="D95" s="422"/>
      <c r="E95" s="425"/>
      <c r="F95" s="425"/>
      <c r="G95" s="425"/>
      <c r="H95" s="422"/>
      <c r="I95" s="422"/>
      <c r="J95" s="426"/>
      <c r="K95" s="426"/>
      <c r="L95" s="426"/>
      <c r="M95" s="426"/>
      <c r="N95" s="422"/>
      <c r="O95" s="422"/>
      <c r="P95" s="422"/>
      <c r="Q95" s="422"/>
      <c r="R95" s="422"/>
      <c r="S95" s="422"/>
      <c r="T95" s="422"/>
      <c r="U95" s="422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4"/>
      <c r="B96" s="422"/>
      <c r="C96" s="422"/>
      <c r="D96" s="422"/>
      <c r="E96" s="422"/>
      <c r="F96" s="422"/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5">
      <c r="A97" s="4"/>
      <c r="B97" s="422"/>
      <c r="C97" s="422"/>
      <c r="D97" s="422"/>
      <c r="E97" s="422"/>
      <c r="F97" s="422"/>
      <c r="G97" s="422"/>
      <c r="H97" s="422"/>
      <c r="I97" s="422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"/>
      <c r="W97" s="4"/>
      <c r="X97" s="4"/>
      <c r="Y97" s="4"/>
      <c r="Z97" s="4"/>
      <c r="AA97" s="4"/>
      <c r="AB97" s="4"/>
      <c r="AC97" s="4"/>
      <c r="AD97" s="4"/>
    </row>
    <row r="112" spans="1:30" x14ac:dyDescent="0.25"/>
    <row r="114" ht="15" hidden="1" customHeight="1" x14ac:dyDescent="0.25"/>
    <row r="128" ht="15" hidden="1" customHeight="1" x14ac:dyDescent="0.25"/>
    <row r="129" ht="15" hidden="1" customHeight="1" x14ac:dyDescent="0.25"/>
    <row r="130" x14ac:dyDescent="0.25"/>
  </sheetData>
  <mergeCells count="65">
    <mergeCell ref="B64:U64"/>
    <mergeCell ref="B65:U65"/>
    <mergeCell ref="B83:U83"/>
    <mergeCell ref="E92:G92"/>
    <mergeCell ref="J92:M92"/>
    <mergeCell ref="Z26:Z27"/>
    <mergeCell ref="AA26:AA27"/>
    <mergeCell ref="C45:C46"/>
    <mergeCell ref="C48:C49"/>
    <mergeCell ref="D61:U61"/>
    <mergeCell ref="B63:U63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67" priority="3" operator="equal">
      <formula>0</formula>
    </cfRule>
    <cfRule type="containsErrors" dxfId="66" priority="4">
      <formula>ISERROR(AB15)</formula>
    </cfRule>
  </conditionalFormatting>
  <conditionalFormatting sqref="AB28:AB43">
    <cfRule type="cellIs" dxfId="65" priority="1" operator="equal">
      <formula>0</formula>
    </cfRule>
    <cfRule type="containsErrors" dxfId="64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D287"/>
  <sheetViews>
    <sheetView showGridLines="0" topLeftCell="G4" zoomScaleNormal="100" zoomScaleSheetLayoutView="80" workbookViewId="0">
      <selection activeCell="T53" sqref="T5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3.570312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4.140625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133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46789944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184" t="s">
        <v>134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70545.7</v>
      </c>
      <c r="G15" s="63">
        <f>SUM(D15:F15)</f>
        <v>70545.7</v>
      </c>
      <c r="H15" s="66">
        <v>3.6</v>
      </c>
      <c r="I15" s="14">
        <f>G15+H15</f>
        <v>70549.3</v>
      </c>
      <c r="J15" s="12"/>
      <c r="K15" s="13"/>
      <c r="L15" s="56">
        <v>72261</v>
      </c>
      <c r="M15" s="63">
        <f t="shared" ref="M15:M23" si="0">SUM(J15:L15)</f>
        <v>72261</v>
      </c>
      <c r="N15" s="66">
        <v>0</v>
      </c>
      <c r="O15" s="14">
        <f>M15+N15</f>
        <v>72261</v>
      </c>
      <c r="P15" s="12"/>
      <c r="Q15" s="13"/>
      <c r="R15" s="56">
        <v>38512.400000000001</v>
      </c>
      <c r="S15" s="63">
        <f>SUM(P15:R15)</f>
        <v>38512.400000000001</v>
      </c>
      <c r="T15" s="66">
        <v>42.3</v>
      </c>
      <c r="U15" s="14">
        <f>S15+T15</f>
        <v>38554.700000000004</v>
      </c>
      <c r="V15" s="12"/>
      <c r="W15" s="13"/>
      <c r="X15" s="56">
        <v>75750</v>
      </c>
      <c r="Y15" s="63">
        <f>SUM(V15:X15)</f>
        <v>75750</v>
      </c>
      <c r="Z15" s="66">
        <v>0</v>
      </c>
      <c r="AA15" s="14">
        <f>Y15+Z15</f>
        <v>75750</v>
      </c>
      <c r="AB15" s="147">
        <f>(AA15/O15)</f>
        <v>1.0482833063478225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24819.599999999999</v>
      </c>
      <c r="E16" s="16"/>
      <c r="F16" s="16"/>
      <c r="G16" s="64">
        <f t="shared" ref="G16:G23" si="1">SUM(D16:F16)</f>
        <v>24819.599999999999</v>
      </c>
      <c r="H16" s="67"/>
      <c r="I16" s="14">
        <f t="shared" ref="I16:I23" si="2">G16+H16</f>
        <v>24819.599999999999</v>
      </c>
      <c r="J16" s="57">
        <v>28580</v>
      </c>
      <c r="K16" s="16"/>
      <c r="L16" s="16"/>
      <c r="M16" s="64">
        <f t="shared" si="0"/>
        <v>28580</v>
      </c>
      <c r="N16" s="67"/>
      <c r="O16" s="14">
        <f t="shared" ref="O16:O20" si="3">M16+N16</f>
        <v>28580</v>
      </c>
      <c r="P16" s="57">
        <v>20330</v>
      </c>
      <c r="Q16" s="16"/>
      <c r="R16" s="16"/>
      <c r="S16" s="64">
        <f t="shared" ref="S16:S23" si="4">SUM(P16:R16)</f>
        <v>20330</v>
      </c>
      <c r="T16" s="67"/>
      <c r="U16" s="14">
        <f t="shared" ref="U16:U20" si="5">S16+T16</f>
        <v>20330</v>
      </c>
      <c r="V16" s="57">
        <v>28004</v>
      </c>
      <c r="W16" s="16"/>
      <c r="X16" s="16"/>
      <c r="Y16" s="64">
        <f t="shared" ref="Y16:Y23" si="6">SUM(V16:X16)</f>
        <v>28004</v>
      </c>
      <c r="Z16" s="67"/>
      <c r="AA16" s="14">
        <f t="shared" ref="AA16:AA20" si="7">Y16+Z16</f>
        <v>28004</v>
      </c>
      <c r="AB16" s="147">
        <f t="shared" ref="AB16:AB24" si="8">(AA16/O16)</f>
        <v>0.97984604618614413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/>
      <c r="E17" s="17"/>
      <c r="F17" s="17"/>
      <c r="G17" s="64">
        <f t="shared" si="1"/>
        <v>0</v>
      </c>
      <c r="H17" s="68"/>
      <c r="I17" s="14">
        <f t="shared" si="2"/>
        <v>0</v>
      </c>
      <c r="J17" s="58"/>
      <c r="K17" s="17"/>
      <c r="L17" s="17"/>
      <c r="M17" s="64">
        <f t="shared" si="0"/>
        <v>0</v>
      </c>
      <c r="N17" s="68"/>
      <c r="O17" s="14">
        <f t="shared" si="3"/>
        <v>0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58"/>
      <c r="W17" s="17"/>
      <c r="X17" s="17"/>
      <c r="Y17" s="64">
        <f t="shared" si="6"/>
        <v>0</v>
      </c>
      <c r="Z17" s="68"/>
      <c r="AA17" s="14">
        <f t="shared" si="7"/>
        <v>0</v>
      </c>
      <c r="AB17" s="147" t="e">
        <f t="shared" si="8"/>
        <v>#DIV/0!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47639.8</v>
      </c>
      <c r="F18" s="17"/>
      <c r="G18" s="64">
        <f t="shared" si="1"/>
        <v>47639.8</v>
      </c>
      <c r="H18" s="66"/>
      <c r="I18" s="14">
        <f t="shared" si="2"/>
        <v>47639.8</v>
      </c>
      <c r="J18" s="18"/>
      <c r="K18" s="59">
        <v>51655.03</v>
      </c>
      <c r="L18" s="17"/>
      <c r="M18" s="64">
        <f t="shared" si="0"/>
        <v>51655.03</v>
      </c>
      <c r="N18" s="66"/>
      <c r="O18" s="14">
        <f t="shared" si="3"/>
        <v>51655.03</v>
      </c>
      <c r="P18" s="18"/>
      <c r="Q18" s="59">
        <v>33305.199999999997</v>
      </c>
      <c r="R18" s="17"/>
      <c r="S18" s="64">
        <f t="shared" si="4"/>
        <v>33305.199999999997</v>
      </c>
      <c r="T18" s="66"/>
      <c r="U18" s="14">
        <f t="shared" si="5"/>
        <v>33305.199999999997</v>
      </c>
      <c r="V18" s="18"/>
      <c r="W18" s="59">
        <v>55238.2</v>
      </c>
      <c r="X18" s="17"/>
      <c r="Y18" s="64">
        <f t="shared" si="6"/>
        <v>55238.2</v>
      </c>
      <c r="Z18" s="66"/>
      <c r="AA18" s="14">
        <f t="shared" si="7"/>
        <v>55238.2</v>
      </c>
      <c r="AB18" s="147">
        <f t="shared" si="8"/>
        <v>1.0693673007256022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/>
      <c r="G19" s="64">
        <f t="shared" si="1"/>
        <v>0</v>
      </c>
      <c r="H19" s="69"/>
      <c r="I19" s="14">
        <f t="shared" si="2"/>
        <v>0</v>
      </c>
      <c r="J19" s="19"/>
      <c r="K19" s="17"/>
      <c r="L19" s="60"/>
      <c r="M19" s="64">
        <f t="shared" si="0"/>
        <v>0</v>
      </c>
      <c r="N19" s="69"/>
      <c r="O19" s="14">
        <f t="shared" si="3"/>
        <v>0</v>
      </c>
      <c r="P19" s="19"/>
      <c r="Q19" s="17"/>
      <c r="R19" s="60"/>
      <c r="S19" s="64">
        <f t="shared" si="4"/>
        <v>0</v>
      </c>
      <c r="T19" s="69"/>
      <c r="U19" s="14">
        <f t="shared" si="5"/>
        <v>0</v>
      </c>
      <c r="V19" s="19"/>
      <c r="W19" s="17"/>
      <c r="X19" s="60"/>
      <c r="Y19" s="64">
        <f t="shared" si="6"/>
        <v>0</v>
      </c>
      <c r="Z19" s="69"/>
      <c r="AA19" s="14">
        <f t="shared" si="7"/>
        <v>0</v>
      </c>
      <c r="AB19" s="147" t="e">
        <f t="shared" si="8"/>
        <v>#DIV/0!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>
        <v>28.8</v>
      </c>
      <c r="G20" s="63">
        <f>SUM(D20:F20)</f>
        <v>28.8</v>
      </c>
      <c r="H20" s="69"/>
      <c r="I20" s="14">
        <f t="shared" si="2"/>
        <v>28.8</v>
      </c>
      <c r="J20" s="18"/>
      <c r="K20" s="16"/>
      <c r="L20" s="61">
        <v>6</v>
      </c>
      <c r="M20" s="64">
        <f t="shared" si="0"/>
        <v>6</v>
      </c>
      <c r="N20" s="69"/>
      <c r="O20" s="14">
        <f t="shared" si="3"/>
        <v>6</v>
      </c>
      <c r="P20" s="18"/>
      <c r="Q20" s="16"/>
      <c r="R20" s="61">
        <v>14.3</v>
      </c>
      <c r="S20" s="64">
        <f t="shared" si="4"/>
        <v>14.3</v>
      </c>
      <c r="T20" s="69"/>
      <c r="U20" s="14">
        <f t="shared" si="5"/>
        <v>14.3</v>
      </c>
      <c r="V20" s="18"/>
      <c r="W20" s="16"/>
      <c r="X20" s="61"/>
      <c r="Y20" s="64">
        <f t="shared" si="6"/>
        <v>0</v>
      </c>
      <c r="Z20" s="69"/>
      <c r="AA20" s="14">
        <f t="shared" si="7"/>
        <v>0</v>
      </c>
      <c r="AB20" s="147">
        <f t="shared" si="8"/>
        <v>0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1101</v>
      </c>
      <c r="G21" s="64">
        <f t="shared" si="1"/>
        <v>1101</v>
      </c>
      <c r="H21" s="70">
        <v>0.9</v>
      </c>
      <c r="I21" s="14">
        <f t="shared" si="2"/>
        <v>1101.9000000000001</v>
      </c>
      <c r="J21" s="18"/>
      <c r="K21" s="16"/>
      <c r="L21" s="61">
        <v>590.4</v>
      </c>
      <c r="M21" s="64">
        <f t="shared" si="0"/>
        <v>590.4</v>
      </c>
      <c r="N21" s="70"/>
      <c r="O21" s="14">
        <f>M21+N21</f>
        <v>590.4</v>
      </c>
      <c r="P21" s="18"/>
      <c r="Q21" s="16"/>
      <c r="R21" s="61">
        <v>1204.5999999999999</v>
      </c>
      <c r="S21" s="64">
        <f t="shared" si="4"/>
        <v>1204.5999999999999</v>
      </c>
      <c r="T21" s="70">
        <v>10</v>
      </c>
      <c r="U21" s="14">
        <f>S21+T21</f>
        <v>1214.5999999999999</v>
      </c>
      <c r="V21" s="18"/>
      <c r="W21" s="16"/>
      <c r="X21" s="61">
        <f>196+140+70</f>
        <v>406</v>
      </c>
      <c r="Y21" s="64">
        <f t="shared" si="6"/>
        <v>406</v>
      </c>
      <c r="Z21" s="70"/>
      <c r="AA21" s="14">
        <f>Y21+Z21</f>
        <v>406</v>
      </c>
      <c r="AB21" s="147">
        <f t="shared" si="8"/>
        <v>0.68766937669376693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18"/>
      <c r="K22" s="16"/>
      <c r="L22" s="61"/>
      <c r="M22" s="64">
        <f t="shared" si="0"/>
        <v>0</v>
      </c>
      <c r="N22" s="70"/>
      <c r="O22" s="14">
        <f t="shared" ref="O22:O23" si="9">M22+N22</f>
        <v>0</v>
      </c>
      <c r="P22" s="18"/>
      <c r="Q22" s="16"/>
      <c r="R22" s="61"/>
      <c r="S22" s="64">
        <f t="shared" si="4"/>
        <v>0</v>
      </c>
      <c r="T22" s="70">
        <v>10</v>
      </c>
      <c r="U22" s="14">
        <f t="shared" ref="U22:U23" si="10">S22+T22</f>
        <v>10</v>
      </c>
      <c r="V22" s="18"/>
      <c r="W22" s="16"/>
      <c r="X22" s="61"/>
      <c r="Y22" s="64">
        <f t="shared" si="6"/>
        <v>0</v>
      </c>
      <c r="Z22" s="70"/>
      <c r="AA22" s="14">
        <f t="shared" ref="AA22:AA23" si="11">Y22+Z22</f>
        <v>0</v>
      </c>
      <c r="AB22" s="147" t="e">
        <f t="shared" si="8"/>
        <v>#DIV/0!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/>
      <c r="G23" s="65">
        <f t="shared" si="1"/>
        <v>0</v>
      </c>
      <c r="H23" s="71"/>
      <c r="I23" s="14">
        <f t="shared" si="2"/>
        <v>0</v>
      </c>
      <c r="J23" s="21"/>
      <c r="K23" s="22"/>
      <c r="L23" s="62"/>
      <c r="M23" s="65">
        <f t="shared" si="0"/>
        <v>0</v>
      </c>
      <c r="N23" s="71"/>
      <c r="O23" s="23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/>
      <c r="Y23" s="65">
        <f t="shared" si="6"/>
        <v>0</v>
      </c>
      <c r="Z23" s="71"/>
      <c r="AA23" s="23">
        <f t="shared" si="11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24819.599999999999</v>
      </c>
      <c r="E24" s="27">
        <f>SUM(E15:E21)</f>
        <v>47639.8</v>
      </c>
      <c r="F24" s="27">
        <f>SUM(F15:F21)</f>
        <v>71675.5</v>
      </c>
      <c r="G24" s="28">
        <f>SUM(D24:F24)</f>
        <v>144134.9</v>
      </c>
      <c r="H24" s="29">
        <f>SUM(H15:H21)</f>
        <v>4.5</v>
      </c>
      <c r="I24" s="29">
        <f>SUM(I15:I21)</f>
        <v>144139.4</v>
      </c>
      <c r="J24" s="26">
        <f>SUM(J15:J21)</f>
        <v>28580</v>
      </c>
      <c r="K24" s="27">
        <f>SUM(K15:K21)</f>
        <v>51655.03</v>
      </c>
      <c r="L24" s="27">
        <f>SUM(L15:L21)</f>
        <v>72857.399999999994</v>
      </c>
      <c r="M24" s="28">
        <f>SUM(J24:L24)</f>
        <v>153092.43</v>
      </c>
      <c r="N24" s="29">
        <f>SUM(N15:N21)</f>
        <v>0</v>
      </c>
      <c r="O24" s="29">
        <f>SUM(O15:O21)</f>
        <v>153092.43</v>
      </c>
      <c r="P24" s="26">
        <f>SUM(P15:P21)</f>
        <v>20330</v>
      </c>
      <c r="Q24" s="27">
        <f>SUM(Q15:Q21)</f>
        <v>33305.199999999997</v>
      </c>
      <c r="R24" s="27">
        <f>SUM(R15:R21)</f>
        <v>39731.300000000003</v>
      </c>
      <c r="S24" s="28">
        <f>SUM(P24:R24)</f>
        <v>93366.5</v>
      </c>
      <c r="T24" s="29">
        <f>SUM(T15:T21)</f>
        <v>52.3</v>
      </c>
      <c r="U24" s="29">
        <f>SUM(U15:U21)</f>
        <v>93418.8</v>
      </c>
      <c r="V24" s="26">
        <f>SUM(V15:V21)</f>
        <v>28004</v>
      </c>
      <c r="W24" s="27">
        <f>SUM(W15:W21)</f>
        <v>55238.2</v>
      </c>
      <c r="X24" s="27">
        <f>SUM(X15:X21)</f>
        <v>76156</v>
      </c>
      <c r="Y24" s="28">
        <f>SUM(V24:X24)</f>
        <v>159398.20000000001</v>
      </c>
      <c r="Z24" s="29">
        <f>SUM(Z15:Z21)</f>
        <v>0</v>
      </c>
      <c r="AA24" s="29">
        <f>SUM(AA15:AA21)</f>
        <v>159398.20000000001</v>
      </c>
      <c r="AB24" s="151">
        <f t="shared" si="8"/>
        <v>1.0411892998236427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202" t="s">
        <v>68</v>
      </c>
      <c r="K25" s="203"/>
      <c r="L25" s="203"/>
      <c r="M25" s="204"/>
      <c r="N25" s="204"/>
      <c r="O25" s="20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206" t="s">
        <v>69</v>
      </c>
      <c r="K26" s="207"/>
      <c r="L26" s="207"/>
      <c r="M26" s="208" t="s">
        <v>64</v>
      </c>
      <c r="N26" s="213" t="s">
        <v>67</v>
      </c>
      <c r="O26" s="215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32" t="s">
        <v>54</v>
      </c>
      <c r="K27" s="33" t="s">
        <v>55</v>
      </c>
      <c r="L27" s="34" t="s">
        <v>56</v>
      </c>
      <c r="M27" s="209"/>
      <c r="N27" s="214"/>
      <c r="O27" s="21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716</v>
      </c>
      <c r="E28" s="72"/>
      <c r="F28" s="72">
        <v>4397</v>
      </c>
      <c r="G28" s="73">
        <f>SUM(D28:F28)</f>
        <v>5113</v>
      </c>
      <c r="H28" s="73"/>
      <c r="I28" s="37">
        <f>G28+H28</f>
        <v>5113</v>
      </c>
      <c r="J28" s="80">
        <v>586</v>
      </c>
      <c r="K28" s="72"/>
      <c r="L28" s="72">
        <v>1448</v>
      </c>
      <c r="M28" s="73">
        <f>SUM(J28:L28)</f>
        <v>2034</v>
      </c>
      <c r="N28" s="73"/>
      <c r="O28" s="37">
        <f>M28+N28</f>
        <v>2034</v>
      </c>
      <c r="P28" s="80">
        <v>145</v>
      </c>
      <c r="Q28" s="72">
        <v>7.3</v>
      </c>
      <c r="R28" s="72">
        <v>1003.5</v>
      </c>
      <c r="S28" s="73">
        <f>SUM(P28:R28)</f>
        <v>1155.8</v>
      </c>
      <c r="T28" s="73"/>
      <c r="U28" s="37">
        <f>S28+T28</f>
        <v>1155.8</v>
      </c>
      <c r="V28" s="80">
        <v>599</v>
      </c>
      <c r="W28" s="72"/>
      <c r="X28" s="72">
        <v>2000</v>
      </c>
      <c r="Y28" s="73">
        <f>SUM(V28:X28)</f>
        <v>2599</v>
      </c>
      <c r="Z28" s="73"/>
      <c r="AA28" s="37">
        <f>Y28+Z28</f>
        <v>2599</v>
      </c>
      <c r="AB28" s="147">
        <f t="shared" ref="AB28:AB41" si="12">(AA28/O28)</f>
        <v>1.2777777777777777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74">
        <v>1400</v>
      </c>
      <c r="E29" s="74"/>
      <c r="F29" s="74">
        <v>13735.4</v>
      </c>
      <c r="G29" s="75">
        <f t="shared" ref="G29:G38" si="13">SUM(D29:F29)</f>
        <v>15135.4</v>
      </c>
      <c r="H29" s="76"/>
      <c r="I29" s="14">
        <f t="shared" ref="I29:I38" si="14">G29+H29</f>
        <v>15135.4</v>
      </c>
      <c r="J29" s="81">
        <v>2200</v>
      </c>
      <c r="K29" s="74">
        <v>185</v>
      </c>
      <c r="L29" s="74">
        <v>14870</v>
      </c>
      <c r="M29" s="75">
        <f t="shared" ref="M29:M38" si="15">SUM(J29:L29)</f>
        <v>17255</v>
      </c>
      <c r="N29" s="76"/>
      <c r="O29" s="14">
        <f t="shared" ref="O29:O38" si="16">M29+N29</f>
        <v>17255</v>
      </c>
      <c r="P29" s="81">
        <v>1176</v>
      </c>
      <c r="Q29" s="74"/>
      <c r="R29" s="74">
        <v>7526.5</v>
      </c>
      <c r="S29" s="75">
        <f t="shared" ref="S29:S38" si="17">SUM(P29:R29)</f>
        <v>8702.5</v>
      </c>
      <c r="T29" s="76">
        <v>1.6</v>
      </c>
      <c r="U29" s="14">
        <f t="shared" ref="U29:U38" si="18">S29+T29</f>
        <v>8704.1</v>
      </c>
      <c r="V29" s="81">
        <v>2000</v>
      </c>
      <c r="W29" s="74">
        <v>200</v>
      </c>
      <c r="X29" s="74">
        <f>18621-2200</f>
        <v>16421</v>
      </c>
      <c r="Y29" s="75">
        <f t="shared" ref="Y29:Y38" si="19">SUM(V29:X29)</f>
        <v>18621</v>
      </c>
      <c r="Z29" s="76"/>
      <c r="AA29" s="14">
        <f t="shared" ref="AA29:AA38" si="20">Y29+Z29</f>
        <v>18621</v>
      </c>
      <c r="AB29" s="147">
        <f t="shared" si="12"/>
        <v>1.0791654592871631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1900</v>
      </c>
      <c r="E30" s="77"/>
      <c r="F30" s="77">
        <v>7527.3</v>
      </c>
      <c r="G30" s="75">
        <f t="shared" si="13"/>
        <v>9427.2999999999993</v>
      </c>
      <c r="H30" s="75"/>
      <c r="I30" s="14">
        <f t="shared" si="14"/>
        <v>9427.2999999999993</v>
      </c>
      <c r="J30" s="82">
        <v>1819</v>
      </c>
      <c r="K30" s="77"/>
      <c r="L30" s="77">
        <v>7631</v>
      </c>
      <c r="M30" s="75">
        <f t="shared" si="15"/>
        <v>9450</v>
      </c>
      <c r="N30" s="75"/>
      <c r="O30" s="14">
        <f t="shared" si="16"/>
        <v>9450</v>
      </c>
      <c r="P30" s="82">
        <v>894</v>
      </c>
      <c r="Q30" s="77">
        <v>160.6</v>
      </c>
      <c r="R30" s="77">
        <v>3877.7</v>
      </c>
      <c r="S30" s="75">
        <f t="shared" si="17"/>
        <v>4932.2999999999993</v>
      </c>
      <c r="T30" s="75"/>
      <c r="U30" s="14">
        <f t="shared" si="18"/>
        <v>4932.2999999999993</v>
      </c>
      <c r="V30" s="82">
        <v>4000</v>
      </c>
      <c r="W30" s="77"/>
      <c r="X30" s="77">
        <v>6390</v>
      </c>
      <c r="Y30" s="75">
        <f t="shared" si="19"/>
        <v>10390</v>
      </c>
      <c r="Z30" s="75"/>
      <c r="AA30" s="14">
        <f t="shared" si="20"/>
        <v>10390</v>
      </c>
      <c r="AB30" s="147">
        <f t="shared" si="12"/>
        <v>1.0994708994708995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2000</v>
      </c>
      <c r="E31" s="77"/>
      <c r="F31" s="77">
        <v>5421.8</v>
      </c>
      <c r="G31" s="75">
        <f t="shared" si="13"/>
        <v>7421.8</v>
      </c>
      <c r="H31" s="75"/>
      <c r="I31" s="14">
        <f t="shared" si="14"/>
        <v>7421.8</v>
      </c>
      <c r="J31" s="82">
        <v>3035</v>
      </c>
      <c r="K31" s="77"/>
      <c r="L31" s="77">
        <v>5312.4</v>
      </c>
      <c r="M31" s="75">
        <f t="shared" si="15"/>
        <v>8347.4</v>
      </c>
      <c r="N31" s="75"/>
      <c r="O31" s="14">
        <f t="shared" si="16"/>
        <v>8347.4</v>
      </c>
      <c r="P31" s="82">
        <v>1241</v>
      </c>
      <c r="Q31" s="77">
        <v>260.60000000000002</v>
      </c>
      <c r="R31" s="77">
        <v>2646.3</v>
      </c>
      <c r="S31" s="75">
        <f t="shared" si="17"/>
        <v>4147.8999999999996</v>
      </c>
      <c r="T31" s="75"/>
      <c r="U31" s="14">
        <f t="shared" si="18"/>
        <v>4147.8999999999996</v>
      </c>
      <c r="V31" s="82">
        <v>3000</v>
      </c>
      <c r="W31" s="77">
        <v>210</v>
      </c>
      <c r="X31" s="77">
        <f>9475-3210</f>
        <v>6265</v>
      </c>
      <c r="Y31" s="75">
        <f t="shared" si="19"/>
        <v>9475</v>
      </c>
      <c r="Z31" s="75"/>
      <c r="AA31" s="14">
        <f t="shared" si="20"/>
        <v>9475</v>
      </c>
      <c r="AB31" s="147">
        <f t="shared" si="12"/>
        <v>1.1350839782447228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7">
        <v>12900</v>
      </c>
      <c r="E32" s="77">
        <v>35600</v>
      </c>
      <c r="F32" s="77">
        <v>27591.5</v>
      </c>
      <c r="G32" s="75">
        <f t="shared" si="13"/>
        <v>76091.5</v>
      </c>
      <c r="H32" s="75"/>
      <c r="I32" s="14">
        <f t="shared" si="14"/>
        <v>76091.5</v>
      </c>
      <c r="J32" s="82">
        <v>14111</v>
      </c>
      <c r="K32" s="77">
        <v>38353</v>
      </c>
      <c r="L32" s="77">
        <v>28766</v>
      </c>
      <c r="M32" s="75">
        <f t="shared" si="15"/>
        <v>81230</v>
      </c>
      <c r="N32" s="75"/>
      <c r="O32" s="14">
        <f t="shared" si="16"/>
        <v>81230</v>
      </c>
      <c r="P32" s="83">
        <v>5327</v>
      </c>
      <c r="Q32" s="77">
        <v>19696.2</v>
      </c>
      <c r="R32" s="77">
        <v>13234</v>
      </c>
      <c r="S32" s="75">
        <f t="shared" si="17"/>
        <v>38257.199999999997</v>
      </c>
      <c r="T32" s="75">
        <v>45</v>
      </c>
      <c r="U32" s="14">
        <f t="shared" si="18"/>
        <v>38302.199999999997</v>
      </c>
      <c r="V32" s="82">
        <v>13500</v>
      </c>
      <c r="W32" s="77">
        <v>40990</v>
      </c>
      <c r="X32" s="77">
        <f>82650-54490</f>
        <v>28160</v>
      </c>
      <c r="Y32" s="75">
        <f t="shared" si="19"/>
        <v>82650</v>
      </c>
      <c r="Z32" s="75"/>
      <c r="AA32" s="14">
        <f t="shared" si="20"/>
        <v>82650</v>
      </c>
      <c r="AB32" s="147">
        <f t="shared" si="12"/>
        <v>1.0174812261479749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7">
        <v>12900</v>
      </c>
      <c r="E33" s="77">
        <v>35600</v>
      </c>
      <c r="F33" s="77">
        <v>26210.9</v>
      </c>
      <c r="G33" s="75">
        <f t="shared" si="13"/>
        <v>74710.899999999994</v>
      </c>
      <c r="H33" s="75"/>
      <c r="I33" s="14">
        <f t="shared" si="14"/>
        <v>74710.899999999994</v>
      </c>
      <c r="J33" s="82">
        <v>14111</v>
      </c>
      <c r="K33" s="77">
        <v>38353</v>
      </c>
      <c r="L33" s="77">
        <v>28766</v>
      </c>
      <c r="M33" s="75">
        <f t="shared" si="15"/>
        <v>81230</v>
      </c>
      <c r="N33" s="75"/>
      <c r="O33" s="14">
        <f t="shared" si="16"/>
        <v>81230</v>
      </c>
      <c r="P33" s="83">
        <v>4327</v>
      </c>
      <c r="Q33" s="77">
        <v>19696.2</v>
      </c>
      <c r="R33" s="77">
        <v>12699.8</v>
      </c>
      <c r="S33" s="75">
        <f t="shared" si="17"/>
        <v>36723</v>
      </c>
      <c r="T33" s="75"/>
      <c r="U33" s="14">
        <f t="shared" si="18"/>
        <v>36723</v>
      </c>
      <c r="V33" s="82">
        <v>13500</v>
      </c>
      <c r="W33" s="77">
        <v>40990</v>
      </c>
      <c r="X33" s="77">
        <v>28160</v>
      </c>
      <c r="Y33" s="75">
        <f t="shared" si="19"/>
        <v>82650</v>
      </c>
      <c r="Z33" s="75"/>
      <c r="AA33" s="14">
        <f t="shared" si="20"/>
        <v>82650</v>
      </c>
      <c r="AB33" s="147">
        <f t="shared" si="12"/>
        <v>1.0174812261479749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7">
        <v>0</v>
      </c>
      <c r="E34" s="77">
        <v>0</v>
      </c>
      <c r="F34" s="77">
        <v>1380.6</v>
      </c>
      <c r="G34" s="75">
        <f t="shared" si="13"/>
        <v>1380.6</v>
      </c>
      <c r="H34" s="75"/>
      <c r="I34" s="14">
        <f t="shared" si="14"/>
        <v>1380.6</v>
      </c>
      <c r="J34" s="82">
        <v>0</v>
      </c>
      <c r="K34" s="77"/>
      <c r="L34" s="77"/>
      <c r="M34" s="75">
        <f>SUM(J34:L34)</f>
        <v>0</v>
      </c>
      <c r="N34" s="75"/>
      <c r="O34" s="14">
        <f t="shared" si="16"/>
        <v>0</v>
      </c>
      <c r="P34" s="83" t="s">
        <v>87</v>
      </c>
      <c r="Q34" s="77"/>
      <c r="R34" s="77">
        <v>534.20000000000005</v>
      </c>
      <c r="S34" s="75">
        <f t="shared" si="17"/>
        <v>534.20000000000005</v>
      </c>
      <c r="T34" s="75">
        <v>45</v>
      </c>
      <c r="U34" s="14">
        <f t="shared" si="18"/>
        <v>579.20000000000005</v>
      </c>
      <c r="V34" s="82">
        <v>0</v>
      </c>
      <c r="W34" s="77">
        <v>0</v>
      </c>
      <c r="X34" s="77">
        <v>0</v>
      </c>
      <c r="Y34" s="75">
        <f t="shared" si="19"/>
        <v>0</v>
      </c>
      <c r="Z34" s="75"/>
      <c r="AA34" s="14">
        <f t="shared" si="20"/>
        <v>0</v>
      </c>
      <c r="AB34" s="147" t="e">
        <f t="shared" si="12"/>
        <v>#DIV/0!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7">
        <v>4400</v>
      </c>
      <c r="E35" s="77">
        <v>12039.8</v>
      </c>
      <c r="F35" s="77">
        <v>8503.2000000000007</v>
      </c>
      <c r="G35" s="75">
        <f t="shared" si="13"/>
        <v>24943</v>
      </c>
      <c r="H35" s="75"/>
      <c r="I35" s="14">
        <f t="shared" si="14"/>
        <v>24943</v>
      </c>
      <c r="J35" s="82">
        <v>4970</v>
      </c>
      <c r="K35" s="77">
        <v>12889.8</v>
      </c>
      <c r="L35" s="77">
        <v>9840.2000000000007</v>
      </c>
      <c r="M35" s="75">
        <f t="shared" si="15"/>
        <v>27700</v>
      </c>
      <c r="N35" s="75"/>
      <c r="O35" s="14">
        <f t="shared" si="16"/>
        <v>27700</v>
      </c>
      <c r="P35" s="83">
        <v>1883</v>
      </c>
      <c r="Q35" s="77">
        <v>6674.4</v>
      </c>
      <c r="R35" s="77">
        <v>4094.9</v>
      </c>
      <c r="S35" s="75">
        <f t="shared" si="17"/>
        <v>12652.3</v>
      </c>
      <c r="T35" s="75">
        <v>4.0999999999999996</v>
      </c>
      <c r="U35" s="14">
        <f t="shared" si="18"/>
        <v>12656.4</v>
      </c>
      <c r="V35" s="82">
        <v>4500</v>
      </c>
      <c r="W35" s="77">
        <v>13810</v>
      </c>
      <c r="X35" s="77">
        <f>27943-18310</f>
        <v>9633</v>
      </c>
      <c r="Y35" s="75">
        <f t="shared" si="19"/>
        <v>27943</v>
      </c>
      <c r="Z35" s="75"/>
      <c r="AA35" s="14">
        <f t="shared" si="20"/>
        <v>27943</v>
      </c>
      <c r="AB35" s="147">
        <f t="shared" si="12"/>
        <v>1.0087725631768953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 t="s">
        <v>87</v>
      </c>
      <c r="E36" s="77"/>
      <c r="F36" s="77">
        <v>0.5</v>
      </c>
      <c r="G36" s="75">
        <f t="shared" si="13"/>
        <v>0.5</v>
      </c>
      <c r="H36" s="75"/>
      <c r="I36" s="14">
        <f t="shared" si="14"/>
        <v>0.5</v>
      </c>
      <c r="J36" s="82"/>
      <c r="K36" s="77"/>
      <c r="L36" s="77"/>
      <c r="M36" s="75">
        <f t="shared" si="15"/>
        <v>0</v>
      </c>
      <c r="N36" s="75"/>
      <c r="O36" s="14">
        <f t="shared" si="16"/>
        <v>0</v>
      </c>
      <c r="P36" s="82"/>
      <c r="Q36" s="77"/>
      <c r="R36" s="77"/>
      <c r="S36" s="75">
        <f t="shared" si="17"/>
        <v>0</v>
      </c>
      <c r="T36" s="75"/>
      <c r="U36" s="14">
        <f t="shared" si="18"/>
        <v>0</v>
      </c>
      <c r="V36" s="82"/>
      <c r="W36" s="77"/>
      <c r="X36" s="77"/>
      <c r="Y36" s="75">
        <f t="shared" si="19"/>
        <v>0</v>
      </c>
      <c r="Z36" s="75"/>
      <c r="AA36" s="14">
        <f t="shared" si="20"/>
        <v>0</v>
      </c>
      <c r="AB36" s="147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500</v>
      </c>
      <c r="E37" s="77"/>
      <c r="F37" s="77">
        <v>911.6</v>
      </c>
      <c r="G37" s="75">
        <f t="shared" si="13"/>
        <v>1411.6</v>
      </c>
      <c r="H37" s="75"/>
      <c r="I37" s="14">
        <f t="shared" si="14"/>
        <v>1411.6</v>
      </c>
      <c r="J37" s="82">
        <v>449</v>
      </c>
      <c r="K37" s="77"/>
      <c r="L37" s="77">
        <v>1059</v>
      </c>
      <c r="M37" s="75">
        <f t="shared" si="15"/>
        <v>1508</v>
      </c>
      <c r="N37" s="75"/>
      <c r="O37" s="14">
        <f t="shared" si="16"/>
        <v>1508</v>
      </c>
      <c r="P37" s="82">
        <v>230</v>
      </c>
      <c r="Q37" s="77">
        <v>10.7</v>
      </c>
      <c r="R37" s="77">
        <v>445.2</v>
      </c>
      <c r="S37" s="75">
        <f t="shared" si="17"/>
        <v>685.9</v>
      </c>
      <c r="T37" s="75"/>
      <c r="U37" s="14">
        <f t="shared" si="18"/>
        <v>685.9</v>
      </c>
      <c r="V37" s="82">
        <v>200</v>
      </c>
      <c r="W37" s="77"/>
      <c r="X37" s="77">
        <v>1383</v>
      </c>
      <c r="Y37" s="75">
        <f t="shared" si="19"/>
        <v>1583</v>
      </c>
      <c r="Z37" s="75"/>
      <c r="AA37" s="14">
        <f t="shared" si="20"/>
        <v>1583</v>
      </c>
      <c r="AB37" s="147">
        <f t="shared" si="12"/>
        <v>1.0497347480106101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78">
        <v>1003.6</v>
      </c>
      <c r="E38" s="78"/>
      <c r="F38" s="78">
        <v>3587.2</v>
      </c>
      <c r="G38" s="75">
        <f t="shared" si="13"/>
        <v>4590.8</v>
      </c>
      <c r="H38" s="79">
        <v>0.5</v>
      </c>
      <c r="I38" s="23">
        <f t="shared" si="14"/>
        <v>4591.3</v>
      </c>
      <c r="J38" s="84">
        <f>584+826</f>
        <v>1410</v>
      </c>
      <c r="K38" s="78">
        <v>227.2</v>
      </c>
      <c r="L38" s="78">
        <v>3930.8</v>
      </c>
      <c r="M38" s="79">
        <f t="shared" si="15"/>
        <v>5568</v>
      </c>
      <c r="N38" s="79"/>
      <c r="O38" s="23">
        <f t="shared" si="16"/>
        <v>5568</v>
      </c>
      <c r="P38" s="84">
        <v>411</v>
      </c>
      <c r="Q38" s="78"/>
      <c r="R38" s="78">
        <v>1986.6</v>
      </c>
      <c r="S38" s="79">
        <f t="shared" si="17"/>
        <v>2397.6</v>
      </c>
      <c r="T38" s="79"/>
      <c r="U38" s="23">
        <f t="shared" si="18"/>
        <v>2397.6</v>
      </c>
      <c r="V38" s="84">
        <v>205</v>
      </c>
      <c r="W38" s="78">
        <v>28.2</v>
      </c>
      <c r="X38" s="78">
        <f>349+2654+769+2365-204.8-28.2</f>
        <v>5904</v>
      </c>
      <c r="Y38" s="79">
        <f t="shared" si="19"/>
        <v>6137.2</v>
      </c>
      <c r="Z38" s="79"/>
      <c r="AA38" s="23">
        <f t="shared" si="20"/>
        <v>6137.2</v>
      </c>
      <c r="AB38" s="150">
        <f t="shared" si="12"/>
        <v>1.102227011494253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24819.599999999999</v>
      </c>
      <c r="E39" s="42">
        <f>SUM(E35:E38)+SUM(E28:E32)</f>
        <v>47639.8</v>
      </c>
      <c r="F39" s="42">
        <f>SUM(F35:F38)+SUM(F28:F32)</f>
        <v>71675.5</v>
      </c>
      <c r="G39" s="146">
        <f>SUM(D39:F39)</f>
        <v>144134.9</v>
      </c>
      <c r="H39" s="43">
        <f>SUM(H28:H32)+SUM(H35:H38)</f>
        <v>0.5</v>
      </c>
      <c r="I39" s="44">
        <f>SUM(I35:I38)+SUM(I28:I32)</f>
        <v>144135.4</v>
      </c>
      <c r="J39" s="42">
        <f>SUM(J35:J38)+SUM(J28:J32)</f>
        <v>28580</v>
      </c>
      <c r="K39" s="42">
        <f>SUM(K35:K38)+SUM(K28:K32)</f>
        <v>51655</v>
      </c>
      <c r="L39" s="42">
        <f>SUM(L35:L38)+SUM(L28:L32)</f>
        <v>72857.399999999994</v>
      </c>
      <c r="M39" s="146">
        <f>SUM(J39:L39)</f>
        <v>153092.4</v>
      </c>
      <c r="N39" s="43">
        <f>SUM(N28:N32)+SUM(N35:N38)</f>
        <v>0</v>
      </c>
      <c r="O39" s="44">
        <f>SUM(O35:O38)+SUM(O28:O32)</f>
        <v>153092.4</v>
      </c>
      <c r="P39" s="42">
        <f>SUM(P35:P38)+SUM(P28:P32)</f>
        <v>11307</v>
      </c>
      <c r="Q39" s="42">
        <f>SUM(Q35:Q38)+SUM(Q28:Q32)</f>
        <v>26809.8</v>
      </c>
      <c r="R39" s="42">
        <f>SUM(R35:R38)+SUM(R28:R32)</f>
        <v>34814.699999999997</v>
      </c>
      <c r="S39" s="146">
        <f>SUM(P39:R39)</f>
        <v>72931.5</v>
      </c>
      <c r="T39" s="43">
        <f>SUM(T28:T32)+SUM(T35:T38)</f>
        <v>50.7</v>
      </c>
      <c r="U39" s="44">
        <f>SUM(U35:U38)+SUM(U28:U32)</f>
        <v>72982.2</v>
      </c>
      <c r="V39" s="42">
        <f>SUM(V35:V38)+SUM(V28:V32)</f>
        <v>28004</v>
      </c>
      <c r="W39" s="42">
        <f>SUM(W35:W38)+SUM(W28:W32)</f>
        <v>55238.2</v>
      </c>
      <c r="X39" s="42">
        <f>SUM(X35:X38)+SUM(X28:X32)</f>
        <v>76156</v>
      </c>
      <c r="Y39" s="146">
        <f>SUM(V39:X39)</f>
        <v>159398.20000000001</v>
      </c>
      <c r="Z39" s="43">
        <f>SUM(Z28:Z32)+SUM(Z35:Z38)</f>
        <v>0</v>
      </c>
      <c r="AA39" s="44">
        <f>SUM(AA35:AA38)+SUM(AA28:AA32)</f>
        <v>159398.20000000001</v>
      </c>
      <c r="AB39" s="152">
        <f t="shared" si="12"/>
        <v>1.0411895038551882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AA40" si="21">D24-D39</f>
        <v>0</v>
      </c>
      <c r="E40" s="109">
        <f t="shared" si="21"/>
        <v>0</v>
      </c>
      <c r="F40" s="109">
        <f t="shared" si="21"/>
        <v>0</v>
      </c>
      <c r="G40" s="118">
        <f t="shared" si="21"/>
        <v>0</v>
      </c>
      <c r="H40" s="118">
        <f t="shared" si="21"/>
        <v>4</v>
      </c>
      <c r="I40" s="119">
        <f t="shared" si="21"/>
        <v>4</v>
      </c>
      <c r="J40" s="109">
        <f t="shared" si="21"/>
        <v>0</v>
      </c>
      <c r="K40" s="109">
        <f t="shared" si="21"/>
        <v>2.9999999998835847E-2</v>
      </c>
      <c r="L40" s="109">
        <f t="shared" si="21"/>
        <v>0</v>
      </c>
      <c r="M40" s="118">
        <f t="shared" si="21"/>
        <v>2.9999999998835847E-2</v>
      </c>
      <c r="N40" s="118">
        <f t="shared" si="21"/>
        <v>0</v>
      </c>
      <c r="O40" s="119">
        <f t="shared" si="21"/>
        <v>2.9999999998835847E-2</v>
      </c>
      <c r="P40" s="109">
        <f t="shared" si="21"/>
        <v>9023</v>
      </c>
      <c r="Q40" s="109">
        <f t="shared" si="21"/>
        <v>6495.3999999999978</v>
      </c>
      <c r="R40" s="109">
        <f t="shared" si="21"/>
        <v>4916.6000000000058</v>
      </c>
      <c r="S40" s="118">
        <f t="shared" si="21"/>
        <v>20435</v>
      </c>
      <c r="T40" s="118">
        <f t="shared" si="21"/>
        <v>1.5999999999999943</v>
      </c>
      <c r="U40" s="119">
        <f t="shared" si="21"/>
        <v>20436.600000000006</v>
      </c>
      <c r="V40" s="109">
        <f t="shared" si="21"/>
        <v>0</v>
      </c>
      <c r="W40" s="109">
        <f t="shared" si="21"/>
        <v>0</v>
      </c>
      <c r="X40" s="109">
        <f t="shared" si="21"/>
        <v>0</v>
      </c>
      <c r="Y40" s="118">
        <f t="shared" si="21"/>
        <v>0</v>
      </c>
      <c r="Z40" s="118">
        <f t="shared" si="21"/>
        <v>0</v>
      </c>
      <c r="AA40" s="119">
        <f t="shared" si="21"/>
        <v>0</v>
      </c>
      <c r="AB40" s="153">
        <f t="shared" si="12"/>
        <v>0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-24815.599999999999</v>
      </c>
      <c r="J41" s="112"/>
      <c r="K41" s="113"/>
      <c r="L41" s="113"/>
      <c r="M41" s="114"/>
      <c r="N41" s="117"/>
      <c r="O41" s="116">
        <f>O40-J16</f>
        <v>-28579.97</v>
      </c>
      <c r="P41" s="112"/>
      <c r="Q41" s="113"/>
      <c r="R41" s="113"/>
      <c r="S41" s="114"/>
      <c r="T41" s="117"/>
      <c r="U41" s="116">
        <f>U40-P16</f>
        <v>106.60000000000582</v>
      </c>
      <c r="V41" s="112"/>
      <c r="W41" s="113"/>
      <c r="X41" s="113"/>
      <c r="Y41" s="114"/>
      <c r="Z41" s="117"/>
      <c r="AA41" s="116">
        <f>AA40-V16</f>
        <v>-28004</v>
      </c>
      <c r="AB41" s="147">
        <f t="shared" si="12"/>
        <v>0.97984707471701327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/>
      <c r="E44" s="104"/>
      <c r="F44" s="105">
        <v>0</v>
      </c>
      <c r="G44" s="49"/>
      <c r="H44" s="49"/>
      <c r="I44" s="50"/>
      <c r="J44" s="94"/>
      <c r="K44" s="104"/>
      <c r="L44" s="105">
        <v>0</v>
      </c>
      <c r="M44" s="93"/>
      <c r="N44" s="93"/>
      <c r="O44" s="93"/>
      <c r="P44" s="94"/>
      <c r="Q44" s="104"/>
      <c r="R44" s="105">
        <v>0</v>
      </c>
      <c r="S44" s="4"/>
      <c r="T44" s="4"/>
      <c r="U44" s="4"/>
      <c r="V44" s="94"/>
      <c r="W44" s="104"/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14">
        <f>F46+G46</f>
        <v>0</v>
      </c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6455.35</v>
      </c>
      <c r="K47" s="97">
        <v>0</v>
      </c>
      <c r="L47" s="149"/>
      <c r="M47" s="149"/>
      <c r="N47" s="4"/>
      <c r="O47" s="4"/>
      <c r="P47" s="94"/>
      <c r="Q47" s="97">
        <v>0</v>
      </c>
      <c r="R47" s="4"/>
      <c r="S47" s="4"/>
      <c r="T47" s="4"/>
      <c r="U47" s="4"/>
      <c r="V47" s="94">
        <v>9200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94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117</v>
      </c>
      <c r="D50" s="85"/>
      <c r="E50" s="85"/>
      <c r="F50" s="85"/>
      <c r="G50" s="52">
        <f>D50+E50-F50</f>
        <v>0</v>
      </c>
      <c r="H50" s="49"/>
      <c r="I50" s="4"/>
      <c r="J50" s="85"/>
      <c r="K50" s="85"/>
      <c r="L50" s="85"/>
      <c r="M50" s="52">
        <f>J50+K50-L50</f>
        <v>0</v>
      </c>
      <c r="N50" s="4"/>
      <c r="O50" s="4"/>
      <c r="P50" s="85"/>
      <c r="Q50" s="85"/>
      <c r="R50" s="85"/>
      <c r="S50" s="52">
        <f>P50+Q50-R50</f>
        <v>0</v>
      </c>
      <c r="T50" s="4"/>
      <c r="U50" s="4"/>
      <c r="V50" s="85"/>
      <c r="W50" s="85"/>
      <c r="X50" s="85"/>
      <c r="Y50" s="52">
        <f>V50+W50-X50</f>
        <v>0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85">
        <v>758.4</v>
      </c>
      <c r="E51" s="85">
        <v>57.6</v>
      </c>
      <c r="F51" s="85">
        <v>662.6</v>
      </c>
      <c r="G51" s="52">
        <f t="shared" ref="G51:G54" si="22">D51+E51-F51</f>
        <v>153.39999999999998</v>
      </c>
      <c r="H51" s="49"/>
      <c r="I51" s="4"/>
      <c r="J51" s="85">
        <v>119.5</v>
      </c>
      <c r="K51" s="85">
        <v>0</v>
      </c>
      <c r="L51" s="85">
        <v>0</v>
      </c>
      <c r="M51" s="52">
        <f t="shared" ref="M51:M54" si="23">J51+K51-L51</f>
        <v>119.5</v>
      </c>
      <c r="N51" s="4"/>
      <c r="O51" s="4"/>
      <c r="P51" s="85">
        <v>153.4</v>
      </c>
      <c r="Q51" s="85">
        <v>94.7</v>
      </c>
      <c r="R51" s="85">
        <v>14.3</v>
      </c>
      <c r="S51" s="52">
        <f t="shared" ref="S51:S54" si="24">P51+Q51-R51</f>
        <v>233.8</v>
      </c>
      <c r="T51" s="4"/>
      <c r="U51" s="4"/>
      <c r="V51" s="85">
        <v>119.5</v>
      </c>
      <c r="W51" s="85">
        <v>0</v>
      </c>
      <c r="X51" s="85">
        <v>0</v>
      </c>
      <c r="Y51" s="52">
        <f t="shared" ref="Y51:Y54" si="25">V51+W51-X51</f>
        <v>119.5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1525.2</v>
      </c>
      <c r="E52" s="85">
        <v>1343</v>
      </c>
      <c r="F52" s="85">
        <v>2240.5</v>
      </c>
      <c r="G52" s="52">
        <f t="shared" si="22"/>
        <v>627.69999999999982</v>
      </c>
      <c r="H52" s="49"/>
      <c r="I52" s="4"/>
      <c r="J52" s="85">
        <v>584.1</v>
      </c>
      <c r="K52" s="85">
        <v>1141</v>
      </c>
      <c r="L52" s="85">
        <v>1200</v>
      </c>
      <c r="M52" s="52">
        <f t="shared" si="23"/>
        <v>525.09999999999991</v>
      </c>
      <c r="N52" s="4"/>
      <c r="O52" s="4"/>
      <c r="P52" s="85">
        <v>627.70000000000005</v>
      </c>
      <c r="Q52" s="85">
        <v>1458</v>
      </c>
      <c r="R52" s="85">
        <v>2084.1999999999998</v>
      </c>
      <c r="S52" s="52">
        <f t="shared" si="24"/>
        <v>1.5</v>
      </c>
      <c r="T52" s="4"/>
      <c r="U52" s="4"/>
      <c r="V52" s="85">
        <v>700</v>
      </c>
      <c r="W52" s="85">
        <v>10783</v>
      </c>
      <c r="X52" s="85">
        <v>11341</v>
      </c>
      <c r="Y52" s="52">
        <f t="shared" si="25"/>
        <v>142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109.6</v>
      </c>
      <c r="E53" s="85">
        <v>0</v>
      </c>
      <c r="F53" s="85">
        <v>0</v>
      </c>
      <c r="G53" s="52">
        <f t="shared" si="22"/>
        <v>109.6</v>
      </c>
      <c r="H53" s="49"/>
      <c r="I53" s="4"/>
      <c r="J53" s="85">
        <v>109.6</v>
      </c>
      <c r="K53" s="85">
        <v>0</v>
      </c>
      <c r="L53" s="85">
        <v>0</v>
      </c>
      <c r="M53" s="52">
        <f t="shared" si="23"/>
        <v>109.6</v>
      </c>
      <c r="N53" s="4"/>
      <c r="O53" s="4"/>
      <c r="P53" s="85">
        <v>109.6</v>
      </c>
      <c r="Q53" s="85">
        <v>0</v>
      </c>
      <c r="R53" s="85">
        <v>0</v>
      </c>
      <c r="S53" s="52">
        <f t="shared" si="24"/>
        <v>109.6</v>
      </c>
      <c r="T53" s="4"/>
      <c r="U53" s="4"/>
      <c r="V53" s="85">
        <v>109.6</v>
      </c>
      <c r="W53" s="85">
        <v>0</v>
      </c>
      <c r="X53" s="85">
        <v>0</v>
      </c>
      <c r="Y53" s="52">
        <f t="shared" si="25"/>
        <v>109.6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496.3</v>
      </c>
      <c r="E54" s="85">
        <v>1494.2</v>
      </c>
      <c r="F54" s="85">
        <v>1681.7</v>
      </c>
      <c r="G54" s="52">
        <f t="shared" si="22"/>
        <v>308.79999999999995</v>
      </c>
      <c r="H54" s="49"/>
      <c r="I54" s="4"/>
      <c r="J54" s="85">
        <v>617.5</v>
      </c>
      <c r="K54" s="85">
        <v>1569</v>
      </c>
      <c r="L54" s="85">
        <v>1600</v>
      </c>
      <c r="M54" s="52">
        <f t="shared" si="23"/>
        <v>586.5</v>
      </c>
      <c r="N54" s="4"/>
      <c r="O54" s="4"/>
      <c r="P54" s="85">
        <v>308.8</v>
      </c>
      <c r="Q54" s="85">
        <v>755.7</v>
      </c>
      <c r="R54" s="85">
        <v>688.2</v>
      </c>
      <c r="S54" s="52">
        <f t="shared" si="24"/>
        <v>376.29999999999995</v>
      </c>
      <c r="T54" s="4"/>
      <c r="U54" s="4"/>
      <c r="V54" s="85">
        <v>586.5</v>
      </c>
      <c r="W54" s="85">
        <v>1660</v>
      </c>
      <c r="X54" s="85">
        <v>1600</v>
      </c>
      <c r="Y54" s="52">
        <f t="shared" si="25"/>
        <v>646.5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192.5</v>
      </c>
      <c r="E57" s="86">
        <v>203</v>
      </c>
      <c r="F57" s="49"/>
      <c r="G57" s="49"/>
      <c r="H57" s="49"/>
      <c r="I57" s="50"/>
      <c r="J57" s="86">
        <v>202</v>
      </c>
      <c r="K57" s="49"/>
      <c r="L57" s="49"/>
      <c r="M57" s="49"/>
      <c r="N57" s="49"/>
      <c r="O57" s="50"/>
      <c r="P57" s="86">
        <v>203.8</v>
      </c>
      <c r="Q57" s="50"/>
      <c r="R57" s="50"/>
      <c r="S57" s="50"/>
      <c r="T57" s="50"/>
      <c r="U57" s="50"/>
      <c r="V57" s="86">
        <v>203.5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 t="s">
        <v>135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 t="s">
        <v>136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183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 t="s">
        <v>137</v>
      </c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217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 t="s">
        <v>138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 t="s">
        <v>139</v>
      </c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498" t="s">
        <v>140</v>
      </c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83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83" t="s">
        <v>141</v>
      </c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83" t="s">
        <v>142</v>
      </c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498" t="s">
        <v>143</v>
      </c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498" t="s">
        <v>144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83" t="s">
        <v>145</v>
      </c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498" t="s">
        <v>146</v>
      </c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498" t="s">
        <v>147</v>
      </c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498" t="s">
        <v>148</v>
      </c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83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83" t="s">
        <v>149</v>
      </c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498" t="s">
        <v>150</v>
      </c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183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83" t="s">
        <v>151</v>
      </c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498" t="s">
        <v>152</v>
      </c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83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83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22"/>
      <c r="W86" s="122"/>
      <c r="X86" s="122"/>
      <c r="Y86" s="122"/>
      <c r="Z86" s="122"/>
      <c r="AA86" s="122"/>
      <c r="AB86" s="123"/>
      <c r="AC86" s="4"/>
      <c r="AD86" s="4"/>
    </row>
    <row r="87" spans="1:30" x14ac:dyDescent="0.25">
      <c r="A87" s="5"/>
      <c r="B87" s="183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22"/>
      <c r="W87" s="122"/>
      <c r="X87" s="122"/>
      <c r="Y87" s="122"/>
      <c r="Z87" s="122"/>
      <c r="AA87" s="122"/>
      <c r="AB87" s="123"/>
      <c r="AC87" s="4"/>
      <c r="AD87" s="4"/>
    </row>
    <row r="88" spans="1:30" x14ac:dyDescent="0.25">
      <c r="A88" s="5"/>
      <c r="B88" s="217"/>
      <c r="C88" s="218"/>
      <c r="D88" s="218"/>
      <c r="E88" s="218"/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122"/>
      <c r="W88" s="122"/>
      <c r="X88" s="122"/>
      <c r="Y88" s="122"/>
      <c r="Z88" s="122"/>
      <c r="AA88" s="122"/>
      <c r="AB88" s="123"/>
      <c r="AC88" s="4"/>
      <c r="AD88" s="4"/>
    </row>
    <row r="89" spans="1:30" x14ac:dyDescent="0.25">
      <c r="A89" s="5"/>
      <c r="B89" s="124"/>
      <c r="C89" s="91"/>
      <c r="D89" s="91"/>
      <c r="E89" s="91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22"/>
      <c r="W89" s="122"/>
      <c r="X89" s="122"/>
      <c r="Y89" s="122"/>
      <c r="Z89" s="122"/>
      <c r="AA89" s="122"/>
      <c r="AB89" s="123"/>
      <c r="AC89" s="4"/>
      <c r="AD89" s="4"/>
    </row>
    <row r="90" spans="1:30" x14ac:dyDescent="0.25">
      <c r="A90" s="5"/>
      <c r="B90" s="143"/>
      <c r="C90" s="140"/>
      <c r="D90" s="2"/>
      <c r="E90" s="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22"/>
      <c r="W90" s="122"/>
      <c r="X90" s="122"/>
      <c r="Y90" s="122"/>
      <c r="Z90" s="122"/>
      <c r="AA90" s="122"/>
      <c r="AB90" s="123"/>
      <c r="AC90" s="4"/>
      <c r="AD90" s="4"/>
    </row>
    <row r="91" spans="1:30" x14ac:dyDescent="0.25">
      <c r="A91" s="5"/>
      <c r="B91" s="124"/>
      <c r="C91" s="125"/>
      <c r="D91" s="2"/>
      <c r="E91" s="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22"/>
      <c r="W91" s="122"/>
      <c r="X91" s="122"/>
      <c r="Y91" s="122"/>
      <c r="Z91" s="122"/>
      <c r="AA91" s="122"/>
      <c r="AB91" s="123"/>
      <c r="AC91" s="4"/>
      <c r="AD91" s="4"/>
    </row>
    <row r="92" spans="1:30" x14ac:dyDescent="0.25">
      <c r="A92" s="5"/>
      <c r="B92" s="124"/>
      <c r="C92" s="125"/>
      <c r="D92" s="2"/>
      <c r="E92" s="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22"/>
      <c r="W92" s="122"/>
      <c r="X92" s="122"/>
      <c r="Y92" s="122"/>
      <c r="Z92" s="122"/>
      <c r="AA92" s="122"/>
      <c r="AB92" s="123"/>
      <c r="AC92" s="4"/>
      <c r="AD92" s="4"/>
    </row>
    <row r="93" spans="1:30" x14ac:dyDescent="0.25">
      <c r="A93" s="5"/>
      <c r="B93" s="134"/>
      <c r="C93" s="135"/>
      <c r="D93" s="136"/>
      <c r="E93" s="136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56"/>
      <c r="W93" s="156"/>
      <c r="X93" s="156"/>
      <c r="Y93" s="156"/>
      <c r="Z93" s="156"/>
      <c r="AA93" s="156"/>
      <c r="AB93" s="157"/>
      <c r="AC93" s="4"/>
      <c r="AD93" s="4"/>
    </row>
    <row r="94" spans="1:30" x14ac:dyDescent="0.25">
      <c r="A94" s="87"/>
      <c r="B94" s="138"/>
      <c r="C94" s="137"/>
      <c r="D94" s="138"/>
      <c r="E94" s="138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87"/>
      <c r="B95" s="138"/>
      <c r="C95" s="137"/>
      <c r="D95" s="138"/>
      <c r="E95" s="138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5">
      <c r="A97" s="5"/>
      <c r="B97" s="53" t="s">
        <v>80</v>
      </c>
      <c r="C97" s="120">
        <v>45156</v>
      </c>
      <c r="D97" s="53" t="s">
        <v>76</v>
      </c>
      <c r="E97" s="218" t="s">
        <v>153</v>
      </c>
      <c r="F97" s="218"/>
      <c r="G97" s="218"/>
      <c r="H97" s="53"/>
      <c r="I97" s="53" t="s">
        <v>77</v>
      </c>
      <c r="J97" s="222" t="s">
        <v>154</v>
      </c>
      <c r="K97" s="222"/>
      <c r="L97" s="222"/>
      <c r="M97" s="222"/>
      <c r="N97" s="53"/>
      <c r="O97" s="53"/>
      <c r="P97" s="53"/>
      <c r="Q97" s="53"/>
      <c r="R97" s="53"/>
      <c r="S97" s="53"/>
      <c r="T97" s="53"/>
      <c r="U97" s="53"/>
      <c r="V97" s="4"/>
      <c r="W97" s="4"/>
      <c r="X97" s="4"/>
      <c r="Y97" s="4"/>
      <c r="Z97" s="4"/>
      <c r="AA97" s="4"/>
      <c r="AB97" s="4"/>
      <c r="AC97" s="4"/>
      <c r="AD97" s="4"/>
    </row>
    <row r="98" spans="1:30" ht="7.5" customHeight="1" x14ac:dyDescent="0.25">
      <c r="A98" s="5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5">
      <c r="A99" s="5"/>
      <c r="B99" s="53"/>
      <c r="C99" s="53"/>
      <c r="D99" s="53" t="s">
        <v>79</v>
      </c>
      <c r="E99" s="55"/>
      <c r="F99" s="55"/>
      <c r="G99" s="55"/>
      <c r="H99" s="53"/>
      <c r="I99" s="53" t="s">
        <v>79</v>
      </c>
      <c r="J99" s="54"/>
      <c r="K99" s="54"/>
      <c r="L99" s="54"/>
      <c r="M99" s="54"/>
      <c r="N99" s="53"/>
      <c r="O99" s="53"/>
      <c r="P99" s="53"/>
      <c r="Q99" s="53"/>
      <c r="R99" s="53"/>
      <c r="S99" s="53"/>
      <c r="T99" s="53"/>
      <c r="U99" s="53"/>
      <c r="V99" s="4"/>
      <c r="W99" s="4"/>
      <c r="X99" s="4"/>
      <c r="Y99" s="4"/>
      <c r="Z99" s="4"/>
      <c r="AA99" s="4"/>
      <c r="AB99" s="4"/>
      <c r="AC99" s="4"/>
      <c r="AD99" s="4"/>
    </row>
    <row r="100" spans="1:30" x14ac:dyDescent="0.25">
      <c r="A100" s="5"/>
      <c r="B100" s="53"/>
      <c r="C100" s="53"/>
      <c r="D100" s="53"/>
      <c r="E100" s="55"/>
      <c r="F100" s="55"/>
      <c r="G100" s="55"/>
      <c r="H100" s="53"/>
      <c r="I100" s="53"/>
      <c r="J100" s="54"/>
      <c r="K100" s="54"/>
      <c r="L100" s="54"/>
      <c r="M100" s="54"/>
      <c r="N100" s="53"/>
      <c r="O100" s="53"/>
      <c r="P100" s="53"/>
      <c r="Q100" s="53"/>
      <c r="R100" s="53"/>
      <c r="S100" s="53"/>
      <c r="T100" s="53"/>
      <c r="U100" s="53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x14ac:dyDescent="0.25">
      <c r="A101" s="5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x14ac:dyDescent="0.25">
      <c r="A102" s="5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idden="1" x14ac:dyDescent="0.25">
      <c r="AC103" s="3"/>
      <c r="AD103" s="3"/>
    </row>
    <row r="104" spans="1:30" hidden="1" x14ac:dyDescent="0.25"/>
    <row r="105" spans="1:30" hidden="1" x14ac:dyDescent="0.25"/>
    <row r="106" spans="1:30" hidden="1" x14ac:dyDescent="0.25"/>
    <row r="107" spans="1:30" hidden="1" x14ac:dyDescent="0.25"/>
    <row r="108" spans="1:30" hidden="1" x14ac:dyDescent="0.25"/>
    <row r="109" spans="1:30" hidden="1" x14ac:dyDescent="0.25"/>
    <row r="110" spans="1:30" hidden="1" x14ac:dyDescent="0.25"/>
    <row r="111" spans="1:30" hidden="1" x14ac:dyDescent="0.25"/>
    <row r="112" spans="1:30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t="15" hidden="1" customHeight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t="15" hidden="1" customHeight="1" x14ac:dyDescent="0.25"/>
    <row r="134" ht="15" hidden="1" customHeight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x14ac:dyDescent="0.25"/>
    <row r="284" x14ac:dyDescent="0.25"/>
    <row r="285" x14ac:dyDescent="0.25"/>
    <row r="286" x14ac:dyDescent="0.25"/>
    <row r="287" x14ac:dyDescent="0.25"/>
  </sheetData>
  <mergeCells count="65">
    <mergeCell ref="B63:U63"/>
    <mergeCell ref="B64:U64"/>
    <mergeCell ref="B88:U88"/>
    <mergeCell ref="E97:G97"/>
    <mergeCell ref="J97:M97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63" priority="3" operator="equal">
      <formula>0</formula>
    </cfRule>
    <cfRule type="containsErrors" dxfId="62" priority="4">
      <formula>ISERROR(AB15)</formula>
    </cfRule>
  </conditionalFormatting>
  <conditionalFormatting sqref="AB28:AB41">
    <cfRule type="cellIs" dxfId="61" priority="1" operator="equal">
      <formula>0</formula>
    </cfRule>
    <cfRule type="containsErrors" dxfId="6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D128"/>
  <sheetViews>
    <sheetView showGridLines="0" zoomScale="80" zoomScaleNormal="80" zoomScaleSheetLayoutView="80" workbookViewId="0">
      <selection activeCell="B32" sqref="B32:AB3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8.28515625" customWidth="1"/>
    <col min="5" max="5" width="17.85546875" customWidth="1"/>
    <col min="6" max="6" width="16.85546875" customWidth="1"/>
    <col min="7" max="7" width="21.28515625" customWidth="1"/>
    <col min="8" max="8" width="15.7109375" customWidth="1"/>
    <col min="9" max="9" width="17.28515625" customWidth="1"/>
    <col min="10" max="10" width="18.28515625" customWidth="1"/>
    <col min="11" max="11" width="17.85546875" customWidth="1"/>
    <col min="12" max="12" width="13.7109375" customWidth="1"/>
    <col min="13" max="13" width="23.42578125" style="427" customWidth="1"/>
    <col min="14" max="14" width="15.28515625" customWidth="1"/>
    <col min="15" max="15" width="16.28515625" customWidth="1"/>
    <col min="16" max="18" width="16.42578125" customWidth="1"/>
    <col min="19" max="19" width="21.140625" customWidth="1"/>
    <col min="20" max="20" width="15.140625" customWidth="1"/>
    <col min="21" max="21" width="16.7109375" customWidth="1"/>
    <col min="22" max="22" width="18.28515625" customWidth="1"/>
    <col min="23" max="23" width="14.140625" bestFit="1" customWidth="1"/>
    <col min="24" max="24" width="13.140625" bestFit="1" customWidth="1"/>
    <col min="25" max="25" width="21.85546875" customWidth="1"/>
    <col min="26" max="26" width="14.85546875" bestFit="1" customWidth="1"/>
    <col min="27" max="27" width="16.28515625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23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4"/>
      <c r="B4" s="4" t="s">
        <v>43</v>
      </c>
      <c r="C4" s="4"/>
      <c r="D4" s="239" t="s">
        <v>160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3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4"/>
      <c r="B6" s="4" t="s">
        <v>44</v>
      </c>
      <c r="C6" s="4"/>
      <c r="D6" s="240">
        <v>79065</v>
      </c>
      <c r="E6" s="4"/>
      <c r="F6" s="4"/>
      <c r="G6" s="4"/>
      <c r="H6" s="4"/>
      <c r="I6" s="4"/>
      <c r="J6" s="4"/>
      <c r="K6" s="4"/>
      <c r="L6" s="4"/>
      <c r="M6" s="23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23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4"/>
      <c r="B8" s="4" t="s">
        <v>45</v>
      </c>
      <c r="C8" s="4"/>
      <c r="D8" s="242" t="s">
        <v>161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4"/>
      <c r="B10" s="243" t="s">
        <v>37</v>
      </c>
      <c r="C10" s="244" t="s">
        <v>38</v>
      </c>
      <c r="D10" s="245" t="s">
        <v>100</v>
      </c>
      <c r="E10" s="246"/>
      <c r="F10" s="246"/>
      <c r="G10" s="246"/>
      <c r="H10" s="246"/>
      <c r="I10" s="247"/>
      <c r="J10" s="245" t="s">
        <v>101</v>
      </c>
      <c r="K10" s="246"/>
      <c r="L10" s="246"/>
      <c r="M10" s="246"/>
      <c r="N10" s="246"/>
      <c r="O10" s="247"/>
      <c r="P10" s="245" t="s">
        <v>102</v>
      </c>
      <c r="Q10" s="246"/>
      <c r="R10" s="246"/>
      <c r="S10" s="246"/>
      <c r="T10" s="246"/>
      <c r="U10" s="247"/>
      <c r="V10" s="245" t="s">
        <v>103</v>
      </c>
      <c r="W10" s="246"/>
      <c r="X10" s="246"/>
      <c r="Y10" s="246"/>
      <c r="Z10" s="246"/>
      <c r="AA10" s="247"/>
      <c r="AB10" s="248" t="s">
        <v>162</v>
      </c>
      <c r="AC10" s="4"/>
      <c r="AD10" s="4"/>
    </row>
    <row r="11" spans="1:30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254" t="s">
        <v>40</v>
      </c>
      <c r="I11" s="254" t="s">
        <v>61</v>
      </c>
      <c r="J11" s="251" t="s">
        <v>39</v>
      </c>
      <c r="K11" s="252"/>
      <c r="L11" s="252"/>
      <c r="M11" s="253"/>
      <c r="N11" s="254" t="s">
        <v>40</v>
      </c>
      <c r="O11" s="254" t="s">
        <v>61</v>
      </c>
      <c r="P11" s="251" t="s">
        <v>39</v>
      </c>
      <c r="Q11" s="252"/>
      <c r="R11" s="252"/>
      <c r="S11" s="253"/>
      <c r="T11" s="254" t="s">
        <v>40</v>
      </c>
      <c r="U11" s="254" t="s">
        <v>61</v>
      </c>
      <c r="V11" s="251" t="s">
        <v>39</v>
      </c>
      <c r="W11" s="252"/>
      <c r="X11" s="252"/>
      <c r="Y11" s="253"/>
      <c r="Z11" s="254" t="s">
        <v>40</v>
      </c>
      <c r="AA11" s="254" t="s">
        <v>61</v>
      </c>
      <c r="AB11" s="255"/>
      <c r="AC11" s="4"/>
      <c r="AD11" s="4"/>
    </row>
    <row r="12" spans="1:30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9"/>
      <c r="J12" s="257" t="s">
        <v>62</v>
      </c>
      <c r="K12" s="258"/>
      <c r="L12" s="258"/>
      <c r="M12" s="258"/>
      <c r="N12" s="258"/>
      <c r="O12" s="259"/>
      <c r="P12" s="257" t="s">
        <v>62</v>
      </c>
      <c r="Q12" s="258"/>
      <c r="R12" s="258"/>
      <c r="S12" s="258"/>
      <c r="T12" s="258"/>
      <c r="U12" s="259"/>
      <c r="V12" s="257" t="s">
        <v>62</v>
      </c>
      <c r="W12" s="258"/>
      <c r="X12" s="258"/>
      <c r="Y12" s="258"/>
      <c r="Z12" s="258"/>
      <c r="AA12" s="259"/>
      <c r="AB12" s="255"/>
      <c r="AC12" s="4"/>
      <c r="AD12" s="4"/>
    </row>
    <row r="13" spans="1:30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264" t="s">
        <v>63</v>
      </c>
      <c r="H13" s="265" t="s">
        <v>66</v>
      </c>
      <c r="I13" s="266" t="s">
        <v>62</v>
      </c>
      <c r="J13" s="262" t="s">
        <v>57</v>
      </c>
      <c r="K13" s="263"/>
      <c r="L13" s="263"/>
      <c r="M13" s="264" t="s">
        <v>63</v>
      </c>
      <c r="N13" s="265" t="s">
        <v>66</v>
      </c>
      <c r="O13" s="266" t="s">
        <v>62</v>
      </c>
      <c r="P13" s="262" t="s">
        <v>57</v>
      </c>
      <c r="Q13" s="263"/>
      <c r="R13" s="263"/>
      <c r="S13" s="264" t="s">
        <v>63</v>
      </c>
      <c r="T13" s="265" t="s">
        <v>66</v>
      </c>
      <c r="U13" s="266" t="s">
        <v>62</v>
      </c>
      <c r="V13" s="262" t="s">
        <v>57</v>
      </c>
      <c r="W13" s="263"/>
      <c r="X13" s="263"/>
      <c r="Y13" s="264" t="s">
        <v>63</v>
      </c>
      <c r="Z13" s="265" t="s">
        <v>66</v>
      </c>
      <c r="AA13" s="266" t="s">
        <v>62</v>
      </c>
      <c r="AB13" s="255"/>
      <c r="AC13" s="4"/>
      <c r="AD13" s="4"/>
    </row>
    <row r="14" spans="1:30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271"/>
      <c r="H14" s="272"/>
      <c r="I14" s="273"/>
      <c r="J14" s="269" t="s">
        <v>58</v>
      </c>
      <c r="K14" s="270" t="s">
        <v>90</v>
      </c>
      <c r="L14" s="270" t="s">
        <v>59</v>
      </c>
      <c r="M14" s="271"/>
      <c r="N14" s="272"/>
      <c r="O14" s="273"/>
      <c r="P14" s="269" t="s">
        <v>58</v>
      </c>
      <c r="Q14" s="270" t="s">
        <v>90</v>
      </c>
      <c r="R14" s="270" t="s">
        <v>59</v>
      </c>
      <c r="S14" s="271"/>
      <c r="T14" s="272"/>
      <c r="U14" s="273"/>
      <c r="V14" s="269" t="s">
        <v>58</v>
      </c>
      <c r="W14" s="270" t="s">
        <v>90</v>
      </c>
      <c r="X14" s="270" t="s">
        <v>59</v>
      </c>
      <c r="Y14" s="271"/>
      <c r="Z14" s="272"/>
      <c r="AA14" s="273"/>
      <c r="AB14" s="274"/>
      <c r="AC14" s="4"/>
      <c r="AD14" s="4"/>
    </row>
    <row r="15" spans="1:30" x14ac:dyDescent="0.25">
      <c r="A15" s="4"/>
      <c r="B15" s="275" t="s">
        <v>0</v>
      </c>
      <c r="C15" s="276" t="s">
        <v>52</v>
      </c>
      <c r="D15" s="277">
        <f>+'[1]Vyhodnocení hospodaření PO'!P15</f>
        <v>0</v>
      </c>
      <c r="E15" s="278">
        <f>+'[1]Vyhodnocení hospodaření PO'!Q15</f>
        <v>0</v>
      </c>
      <c r="F15" s="279">
        <f>+'[1]Vyhodnocení hospodaření PO'!R15</f>
        <v>22597609.690000001</v>
      </c>
      <c r="G15" s="280">
        <f>SUM(D15:F15)</f>
        <v>22597609.690000001</v>
      </c>
      <c r="H15" s="281">
        <f>+'[1]Vyhodnocení hospodaření PO'!T15</f>
        <v>18760452.899999999</v>
      </c>
      <c r="I15" s="282">
        <f>G15+H15</f>
        <v>41358062.590000004</v>
      </c>
      <c r="J15" s="277">
        <f>+'[2]Vyhodnocení hosp. 1.pol. 2023'!J15</f>
        <v>0</v>
      </c>
      <c r="K15" s="278">
        <f>+'[2]Vyhodnocení hosp. 1.pol. 2023'!K15</f>
        <v>0</v>
      </c>
      <c r="L15" s="279">
        <f>+'[2]Vyhodnocení hosp. 1.pol. 2023'!L15</f>
        <v>16690000</v>
      </c>
      <c r="M15" s="280">
        <f t="shared" ref="M15:M23" si="0">SUM(J15:L15)</f>
        <v>16690000</v>
      </c>
      <c r="N15" s="281">
        <f>+'[2]Vyhodnocení hosp. 1.pol. 2023'!N15</f>
        <v>17100000</v>
      </c>
      <c r="O15" s="282">
        <f>M15+N15</f>
        <v>33790000</v>
      </c>
      <c r="P15" s="277">
        <f>+'[2]Vyhodnocení hosp. 1.pol. 2023'!P15</f>
        <v>0</v>
      </c>
      <c r="Q15" s="278">
        <f>+'[2]Vyhodnocení hosp. 1.pol. 2023'!Q15</f>
        <v>0</v>
      </c>
      <c r="R15" s="279">
        <f>+'[2]Vyhodnocení hosp. 1.pol. 2023'!R15</f>
        <v>11786260.800000001</v>
      </c>
      <c r="S15" s="280">
        <f>SUM(P15:R15)</f>
        <v>11786260.800000001</v>
      </c>
      <c r="T15" s="281">
        <f>+'[2]Vyhodnocení hosp. 1.pol. 2023'!T15</f>
        <v>11079422.609999999</v>
      </c>
      <c r="U15" s="282">
        <f>S15+T15</f>
        <v>22865683.41</v>
      </c>
      <c r="V15" s="277">
        <f>+J15</f>
        <v>0</v>
      </c>
      <c r="W15" s="278">
        <f t="shared" ref="W15:X23" si="1">+K15</f>
        <v>0</v>
      </c>
      <c r="X15" s="279">
        <f t="shared" si="1"/>
        <v>16690000</v>
      </c>
      <c r="Y15" s="280">
        <f>SUM(V15:X15)</f>
        <v>16690000</v>
      </c>
      <c r="Z15" s="281">
        <f>+N15</f>
        <v>17100000</v>
      </c>
      <c r="AA15" s="282">
        <f>Y15+Z15</f>
        <v>33790000</v>
      </c>
      <c r="AB15" s="283">
        <f>(AA15/O15)</f>
        <v>1</v>
      </c>
      <c r="AC15" s="4"/>
      <c r="AD15" s="4"/>
    </row>
    <row r="16" spans="1:30" x14ac:dyDescent="0.25">
      <c r="A16" s="4"/>
      <c r="B16" s="284" t="s">
        <v>1</v>
      </c>
      <c r="C16" s="285" t="s">
        <v>60</v>
      </c>
      <c r="D16" s="286">
        <f>+'[1]Vyhodnocení hospodaření PO'!P16</f>
        <v>158169064</v>
      </c>
      <c r="E16" s="287">
        <f>+'[1]Vyhodnocení hospodaření PO'!Q16</f>
        <v>0</v>
      </c>
      <c r="F16" s="287">
        <f>+'[1]Vyhodnocení hospodaření PO'!R16</f>
        <v>0</v>
      </c>
      <c r="G16" s="288">
        <f t="shared" ref="G16:G23" si="2">SUM(D16:F16)</f>
        <v>158169064</v>
      </c>
      <c r="H16" s="289">
        <f>+'[1]Vyhodnocení hospodaření PO'!T16</f>
        <v>0</v>
      </c>
      <c r="I16" s="282">
        <f t="shared" ref="I16:I23" si="3">G16+H16</f>
        <v>158169064</v>
      </c>
      <c r="J16" s="286">
        <f>+'[2]Vyhodnocení hosp. 1.pol. 2023'!J16</f>
        <v>169016600</v>
      </c>
      <c r="K16" s="287">
        <f>+'[2]Vyhodnocení hosp. 1.pol. 2023'!K16</f>
        <v>0</v>
      </c>
      <c r="L16" s="287">
        <f>+'[2]Vyhodnocení hosp. 1.pol. 2023'!L16</f>
        <v>0</v>
      </c>
      <c r="M16" s="288">
        <f t="shared" si="0"/>
        <v>169016600</v>
      </c>
      <c r="N16" s="289">
        <f>+'[2]Vyhodnocení hosp. 1.pol. 2023'!N16</f>
        <v>0</v>
      </c>
      <c r="O16" s="282">
        <f t="shared" ref="O16:O20" si="4">M16+N16</f>
        <v>169016600</v>
      </c>
      <c r="P16" s="286">
        <f>+'[2]Vyhodnocení hosp. 1.pol. 2023'!P16</f>
        <v>84508300</v>
      </c>
      <c r="Q16" s="287">
        <f>+'[2]Vyhodnocení hosp. 1.pol. 2023'!Q16</f>
        <v>0</v>
      </c>
      <c r="R16" s="287">
        <f>+'[2]Vyhodnocení hosp. 1.pol. 2023'!R16</f>
        <v>0</v>
      </c>
      <c r="S16" s="288">
        <f t="shared" ref="S16:S23" si="5">SUM(P16:R16)</f>
        <v>84508300</v>
      </c>
      <c r="T16" s="289">
        <f>+'[2]Vyhodnocení hosp. 1.pol. 2023'!T16</f>
        <v>0</v>
      </c>
      <c r="U16" s="282">
        <f t="shared" ref="U16:U20" si="6">S16+T16</f>
        <v>84508300</v>
      </c>
      <c r="V16" s="286">
        <f>+J16+2800000</f>
        <v>171816600</v>
      </c>
      <c r="W16" s="287">
        <f t="shared" si="1"/>
        <v>0</v>
      </c>
      <c r="X16" s="287">
        <f t="shared" si="1"/>
        <v>0</v>
      </c>
      <c r="Y16" s="288">
        <f t="shared" ref="Y16:Y23" si="7">SUM(V16:X16)</f>
        <v>171816600</v>
      </c>
      <c r="Z16" s="289">
        <f t="shared" ref="Z16:Z23" si="8">+N16</f>
        <v>0</v>
      </c>
      <c r="AA16" s="282">
        <f t="shared" ref="AA16:AA20" si="9">Y16+Z16</f>
        <v>171816600</v>
      </c>
      <c r="AB16" s="283">
        <f t="shared" ref="AB16:AB24" si="10">(AA16/O16)</f>
        <v>1.0165664201031142</v>
      </c>
      <c r="AC16" s="4"/>
      <c r="AD16" s="4"/>
    </row>
    <row r="17" spans="1:30" x14ac:dyDescent="0.25">
      <c r="A17" s="4"/>
      <c r="B17" s="284" t="s">
        <v>3</v>
      </c>
      <c r="C17" s="290" t="s">
        <v>78</v>
      </c>
      <c r="D17" s="58">
        <f>+'[1]Vyhodnocení hospodaření PO'!P17</f>
        <v>0</v>
      </c>
      <c r="E17" s="291">
        <f>+'[1]Vyhodnocení hospodaření PO'!Q17</f>
        <v>0</v>
      </c>
      <c r="F17" s="291">
        <f>+'[1]Vyhodnocení hospodaření PO'!R17</f>
        <v>0</v>
      </c>
      <c r="G17" s="288">
        <f t="shared" si="2"/>
        <v>0</v>
      </c>
      <c r="H17" s="292">
        <f>+'[1]Vyhodnocení hospodaření PO'!T17</f>
        <v>0</v>
      </c>
      <c r="I17" s="282">
        <f t="shared" si="3"/>
        <v>0</v>
      </c>
      <c r="J17" s="58">
        <f>+'[2]Vyhodnocení hosp. 1.pol. 2023'!J17</f>
        <v>0</v>
      </c>
      <c r="K17" s="291">
        <f>+'[2]Vyhodnocení hosp. 1.pol. 2023'!K17</f>
        <v>0</v>
      </c>
      <c r="L17" s="291">
        <f>+'[2]Vyhodnocení hosp. 1.pol. 2023'!L17</f>
        <v>0</v>
      </c>
      <c r="M17" s="288">
        <f t="shared" si="0"/>
        <v>0</v>
      </c>
      <c r="N17" s="292">
        <f>+'[2]Vyhodnocení hosp. 1.pol. 2023'!N17</f>
        <v>0</v>
      </c>
      <c r="O17" s="282">
        <f t="shared" si="4"/>
        <v>0</v>
      </c>
      <c r="P17" s="58">
        <f>+'[2]Vyhodnocení hosp. 1.pol. 2023'!P17</f>
        <v>0</v>
      </c>
      <c r="Q17" s="291">
        <f>+'[2]Vyhodnocení hosp. 1.pol. 2023'!Q17</f>
        <v>0</v>
      </c>
      <c r="R17" s="291">
        <f>+'[2]Vyhodnocení hosp. 1.pol. 2023'!R17</f>
        <v>0</v>
      </c>
      <c r="S17" s="288">
        <f t="shared" si="5"/>
        <v>0</v>
      </c>
      <c r="T17" s="292">
        <f>+'[2]Vyhodnocení hosp. 1.pol. 2023'!T17</f>
        <v>0</v>
      </c>
      <c r="U17" s="282">
        <f t="shared" si="6"/>
        <v>0</v>
      </c>
      <c r="V17" s="58">
        <f t="shared" ref="V17:V23" si="11">+J17</f>
        <v>0</v>
      </c>
      <c r="W17" s="291">
        <f t="shared" si="1"/>
        <v>0</v>
      </c>
      <c r="X17" s="291">
        <f t="shared" si="1"/>
        <v>0</v>
      </c>
      <c r="Y17" s="288">
        <f t="shared" si="7"/>
        <v>0</v>
      </c>
      <c r="Z17" s="292">
        <f t="shared" si="8"/>
        <v>0</v>
      </c>
      <c r="AA17" s="282">
        <f t="shared" si="9"/>
        <v>0</v>
      </c>
      <c r="AB17" s="283" t="e">
        <f t="shared" si="10"/>
        <v>#DIV/0!</v>
      </c>
      <c r="AC17" s="4"/>
      <c r="AD17" s="4"/>
    </row>
    <row r="18" spans="1:30" x14ac:dyDescent="0.25">
      <c r="A18" s="4"/>
      <c r="B18" s="284" t="s">
        <v>5</v>
      </c>
      <c r="C18" s="293" t="s">
        <v>53</v>
      </c>
      <c r="D18" s="294">
        <f>+'[1]Vyhodnocení hospodaření PO'!P18</f>
        <v>20000</v>
      </c>
      <c r="E18" s="60">
        <f>+'[1]Vyhodnocení hospodaření PO'!Q18</f>
        <v>0</v>
      </c>
      <c r="F18" s="291">
        <f>+'[1]Vyhodnocení hospodaření PO'!R18</f>
        <v>0</v>
      </c>
      <c r="G18" s="288">
        <f t="shared" si="2"/>
        <v>20000</v>
      </c>
      <c r="H18" s="281">
        <f>+'[1]Vyhodnocení hospodaření PO'!T18</f>
        <v>0</v>
      </c>
      <c r="I18" s="282">
        <f t="shared" si="3"/>
        <v>20000</v>
      </c>
      <c r="J18" s="294">
        <f>+'[2]Vyhodnocení hosp. 1.pol. 2023'!J18</f>
        <v>0</v>
      </c>
      <c r="K18" s="60">
        <f>+'[2]Vyhodnocení hosp. 1.pol. 2023'!K18</f>
        <v>0</v>
      </c>
      <c r="L18" s="291">
        <f>+'[2]Vyhodnocení hosp. 1.pol. 2023'!L18</f>
        <v>0</v>
      </c>
      <c r="M18" s="288">
        <f t="shared" si="0"/>
        <v>0</v>
      </c>
      <c r="N18" s="281">
        <f>+'[2]Vyhodnocení hosp. 1.pol. 2023'!N18</f>
        <v>0</v>
      </c>
      <c r="O18" s="282">
        <f t="shared" si="4"/>
        <v>0</v>
      </c>
      <c r="P18" s="294">
        <f>+'[2]Vyhodnocení hosp. 1.pol. 2023'!P18</f>
        <v>0</v>
      </c>
      <c r="Q18" s="60">
        <f>+'[2]Vyhodnocení hosp. 1.pol. 2023'!Q18</f>
        <v>0</v>
      </c>
      <c r="R18" s="291">
        <f>+'[2]Vyhodnocení hosp. 1.pol. 2023'!R18</f>
        <v>0</v>
      </c>
      <c r="S18" s="288">
        <f t="shared" si="5"/>
        <v>0</v>
      </c>
      <c r="T18" s="281">
        <f>+'[2]Vyhodnocení hosp. 1.pol. 2023'!T18</f>
        <v>0</v>
      </c>
      <c r="U18" s="282">
        <f t="shared" si="6"/>
        <v>0</v>
      </c>
      <c r="V18" s="294">
        <f t="shared" si="11"/>
        <v>0</v>
      </c>
      <c r="W18" s="60">
        <f t="shared" si="1"/>
        <v>0</v>
      </c>
      <c r="X18" s="291">
        <f t="shared" si="1"/>
        <v>0</v>
      </c>
      <c r="Y18" s="288">
        <f t="shared" si="7"/>
        <v>0</v>
      </c>
      <c r="Z18" s="281">
        <f t="shared" si="8"/>
        <v>0</v>
      </c>
      <c r="AA18" s="282">
        <f t="shared" si="9"/>
        <v>0</v>
      </c>
      <c r="AB18" s="283" t="e">
        <f t="shared" si="10"/>
        <v>#DIV/0!</v>
      </c>
      <c r="AC18" s="4"/>
      <c r="AD18" s="4"/>
    </row>
    <row r="19" spans="1:30" x14ac:dyDescent="0.25">
      <c r="A19" s="4"/>
      <c r="B19" s="284" t="s">
        <v>7</v>
      </c>
      <c r="C19" s="295" t="s">
        <v>46</v>
      </c>
      <c r="D19" s="296">
        <f>+'[1]Vyhodnocení hospodaření PO'!P19</f>
        <v>0</v>
      </c>
      <c r="E19" s="291">
        <f>+'[1]Vyhodnocení hospodaření PO'!Q19</f>
        <v>0</v>
      </c>
      <c r="F19" s="60">
        <f>+'[1]Vyhodnocení hospodaření PO'!R19</f>
        <v>0</v>
      </c>
      <c r="G19" s="288">
        <f t="shared" si="2"/>
        <v>0</v>
      </c>
      <c r="H19" s="281">
        <f>+'[1]Vyhodnocení hospodaření PO'!T19</f>
        <v>0</v>
      </c>
      <c r="I19" s="282">
        <f t="shared" si="3"/>
        <v>0</v>
      </c>
      <c r="J19" s="296">
        <f>+'[2]Vyhodnocení hosp. 1.pol. 2023'!J19</f>
        <v>0</v>
      </c>
      <c r="K19" s="291">
        <f>+'[2]Vyhodnocení hosp. 1.pol. 2023'!K19</f>
        <v>0</v>
      </c>
      <c r="L19" s="60">
        <f>+'[2]Vyhodnocení hosp. 1.pol. 2023'!L19</f>
        <v>0</v>
      </c>
      <c r="M19" s="288">
        <f t="shared" si="0"/>
        <v>0</v>
      </c>
      <c r="N19" s="281">
        <f>+'[2]Vyhodnocení hosp. 1.pol. 2023'!N19</f>
        <v>0</v>
      </c>
      <c r="O19" s="282">
        <f t="shared" si="4"/>
        <v>0</v>
      </c>
      <c r="P19" s="296">
        <f>+'[2]Vyhodnocení hosp. 1.pol. 2023'!P19</f>
        <v>0</v>
      </c>
      <c r="Q19" s="291">
        <f>+'[2]Vyhodnocení hosp. 1.pol. 2023'!Q19</f>
        <v>0</v>
      </c>
      <c r="R19" s="60">
        <f>+'[2]Vyhodnocení hosp. 1.pol. 2023'!R19</f>
        <v>0</v>
      </c>
      <c r="S19" s="288">
        <f t="shared" si="5"/>
        <v>0</v>
      </c>
      <c r="T19" s="281">
        <f>+'[2]Vyhodnocení hosp. 1.pol. 2023'!T19</f>
        <v>0</v>
      </c>
      <c r="U19" s="282">
        <f t="shared" si="6"/>
        <v>0</v>
      </c>
      <c r="V19" s="296">
        <f t="shared" si="11"/>
        <v>0</v>
      </c>
      <c r="W19" s="291">
        <f t="shared" si="1"/>
        <v>0</v>
      </c>
      <c r="X19" s="60">
        <f t="shared" si="1"/>
        <v>0</v>
      </c>
      <c r="Y19" s="288">
        <f t="shared" si="7"/>
        <v>0</v>
      </c>
      <c r="Z19" s="281">
        <f t="shared" si="8"/>
        <v>0</v>
      </c>
      <c r="AA19" s="282">
        <f t="shared" si="9"/>
        <v>0</v>
      </c>
      <c r="AB19" s="283" t="e">
        <f t="shared" si="10"/>
        <v>#DIV/0!</v>
      </c>
      <c r="AC19" s="4"/>
      <c r="AD19" s="4"/>
    </row>
    <row r="20" spans="1:30" x14ac:dyDescent="0.25">
      <c r="A20" s="4"/>
      <c r="B20" s="284" t="s">
        <v>9</v>
      </c>
      <c r="C20" s="297" t="s">
        <v>47</v>
      </c>
      <c r="D20" s="294">
        <f>+'[1]Vyhodnocení hospodaření PO'!P20</f>
        <v>0</v>
      </c>
      <c r="E20" s="287">
        <f>+'[1]Vyhodnocení hospodaření PO'!Q20</f>
        <v>0</v>
      </c>
      <c r="F20" s="298">
        <f>+'[1]Vyhodnocení hospodaření PO'!R20</f>
        <v>1373412.87</v>
      </c>
      <c r="G20" s="288">
        <f t="shared" si="2"/>
        <v>1373412.87</v>
      </c>
      <c r="H20" s="281">
        <f>+'[1]Vyhodnocení hospodaření PO'!T20</f>
        <v>0</v>
      </c>
      <c r="I20" s="282">
        <f t="shared" si="3"/>
        <v>1373412.87</v>
      </c>
      <c r="J20" s="294">
        <f>+'[2]Vyhodnocení hosp. 1.pol. 2023'!J20</f>
        <v>0</v>
      </c>
      <c r="K20" s="287">
        <f>+'[2]Vyhodnocení hosp. 1.pol. 2023'!K20</f>
        <v>0</v>
      </c>
      <c r="L20" s="298">
        <f>+'[2]Vyhodnocení hosp. 1.pol. 2023'!L20</f>
        <v>3770000</v>
      </c>
      <c r="M20" s="288">
        <f t="shared" si="0"/>
        <v>3770000</v>
      </c>
      <c r="N20" s="281">
        <f>+'[2]Vyhodnocení hosp. 1.pol. 2023'!N20</f>
        <v>0</v>
      </c>
      <c r="O20" s="282">
        <f t="shared" si="4"/>
        <v>3770000</v>
      </c>
      <c r="P20" s="294">
        <f>+'[2]Vyhodnocení hosp. 1.pol. 2023'!P20</f>
        <v>0</v>
      </c>
      <c r="Q20" s="287">
        <f>+'[2]Vyhodnocení hosp. 1.pol. 2023'!Q20</f>
        <v>0</v>
      </c>
      <c r="R20" s="298">
        <f>+'[2]Vyhodnocení hosp. 1.pol. 2023'!R20</f>
        <v>287260.17</v>
      </c>
      <c r="S20" s="288">
        <f t="shared" si="5"/>
        <v>287260.17</v>
      </c>
      <c r="T20" s="281">
        <f>+'[2]Vyhodnocení hosp. 1.pol. 2023'!T20</f>
        <v>0</v>
      </c>
      <c r="U20" s="282">
        <f t="shared" si="6"/>
        <v>287260.17</v>
      </c>
      <c r="V20" s="294">
        <f t="shared" si="11"/>
        <v>0</v>
      </c>
      <c r="W20" s="287">
        <f t="shared" si="1"/>
        <v>0</v>
      </c>
      <c r="X20" s="298">
        <f t="shared" si="1"/>
        <v>3770000</v>
      </c>
      <c r="Y20" s="288">
        <f t="shared" si="7"/>
        <v>3770000</v>
      </c>
      <c r="Z20" s="281">
        <f t="shared" si="8"/>
        <v>0</v>
      </c>
      <c r="AA20" s="282">
        <f t="shared" si="9"/>
        <v>3770000</v>
      </c>
      <c r="AB20" s="283">
        <f t="shared" si="10"/>
        <v>1</v>
      </c>
      <c r="AC20" s="4"/>
      <c r="AD20" s="4"/>
    </row>
    <row r="21" spans="1:30" x14ac:dyDescent="0.25">
      <c r="A21" s="4"/>
      <c r="B21" s="284" t="s">
        <v>11</v>
      </c>
      <c r="C21" s="299" t="s">
        <v>2</v>
      </c>
      <c r="D21" s="294">
        <f>+'[1]Vyhodnocení hospodaření PO'!P21</f>
        <v>0</v>
      </c>
      <c r="E21" s="287">
        <f>+'[1]Vyhodnocení hospodaření PO'!Q21</f>
        <v>0</v>
      </c>
      <c r="F21" s="298">
        <f>+'[1]Vyhodnocení hospodaření PO'!R21</f>
        <v>3710925.0500000003</v>
      </c>
      <c r="G21" s="288">
        <f t="shared" si="2"/>
        <v>3710925.0500000003</v>
      </c>
      <c r="H21" s="300">
        <f>+'[1]Vyhodnocení hospodaření PO'!T21</f>
        <v>15319.050000000001</v>
      </c>
      <c r="I21" s="282">
        <f>G21+H21</f>
        <v>3726244.1</v>
      </c>
      <c r="J21" s="294">
        <f>+'[2]Vyhodnocení hosp. 1.pol. 2023'!J21</f>
        <v>0</v>
      </c>
      <c r="K21" s="287">
        <f>+'[2]Vyhodnocení hosp. 1.pol. 2023'!K21</f>
        <v>0</v>
      </c>
      <c r="L21" s="298">
        <f>+'[2]Vyhodnocení hosp. 1.pol. 2023'!L21</f>
        <v>3200000</v>
      </c>
      <c r="M21" s="288">
        <f t="shared" si="0"/>
        <v>3200000</v>
      </c>
      <c r="N21" s="300">
        <f>+'[2]Vyhodnocení hosp. 1.pol. 2023'!N21</f>
        <v>0</v>
      </c>
      <c r="O21" s="282">
        <f>M21+N21</f>
        <v>3200000</v>
      </c>
      <c r="P21" s="294">
        <f>+'[2]Vyhodnocení hosp. 1.pol. 2023'!P21</f>
        <v>0</v>
      </c>
      <c r="Q21" s="287">
        <f>+'[2]Vyhodnocení hosp. 1.pol. 2023'!Q21</f>
        <v>0</v>
      </c>
      <c r="R21" s="298">
        <f>+'[2]Vyhodnocení hosp. 1.pol. 2023'!R21</f>
        <v>2163636.34</v>
      </c>
      <c r="S21" s="288">
        <f t="shared" si="5"/>
        <v>2163636.34</v>
      </c>
      <c r="T21" s="300">
        <f>+'[2]Vyhodnocení hosp. 1.pol. 2023'!T21</f>
        <v>47477.33</v>
      </c>
      <c r="U21" s="282">
        <f>S21+T21</f>
        <v>2211113.67</v>
      </c>
      <c r="V21" s="294">
        <f t="shared" si="11"/>
        <v>0</v>
      </c>
      <c r="W21" s="287">
        <f t="shared" si="1"/>
        <v>0</v>
      </c>
      <c r="X21" s="298">
        <f t="shared" si="1"/>
        <v>3200000</v>
      </c>
      <c r="Y21" s="288">
        <f t="shared" si="7"/>
        <v>3200000</v>
      </c>
      <c r="Z21" s="300">
        <f t="shared" si="8"/>
        <v>0</v>
      </c>
      <c r="AA21" s="282">
        <f>Y21+Z21</f>
        <v>3200000</v>
      </c>
      <c r="AB21" s="283">
        <f t="shared" si="10"/>
        <v>1</v>
      </c>
      <c r="AC21" s="4"/>
      <c r="AD21" s="4"/>
    </row>
    <row r="22" spans="1:30" x14ac:dyDescent="0.25">
      <c r="A22" s="4"/>
      <c r="B22" s="284" t="s">
        <v>13</v>
      </c>
      <c r="C22" s="299" t="s">
        <v>4</v>
      </c>
      <c r="D22" s="294">
        <f>+'[1]Vyhodnocení hospodaření PO'!P22</f>
        <v>0</v>
      </c>
      <c r="E22" s="287">
        <f>+'[1]Vyhodnocení hospodaření PO'!Q22</f>
        <v>0</v>
      </c>
      <c r="F22" s="298">
        <f>+'[1]Vyhodnocení hospodaření PO'!R22</f>
        <v>0</v>
      </c>
      <c r="G22" s="288">
        <f t="shared" si="2"/>
        <v>0</v>
      </c>
      <c r="H22" s="300">
        <f>+'[1]Vyhodnocení hospodaření PO'!T22</f>
        <v>0</v>
      </c>
      <c r="I22" s="282">
        <f t="shared" si="3"/>
        <v>0</v>
      </c>
      <c r="J22" s="294">
        <f>+'[2]Vyhodnocení hosp. 1.pol. 2023'!J22</f>
        <v>0</v>
      </c>
      <c r="K22" s="287">
        <f>+'[2]Vyhodnocení hosp. 1.pol. 2023'!K22</f>
        <v>0</v>
      </c>
      <c r="L22" s="298">
        <f>+'[2]Vyhodnocení hosp. 1.pol. 2023'!L22</f>
        <v>200000</v>
      </c>
      <c r="M22" s="288">
        <f t="shared" si="0"/>
        <v>200000</v>
      </c>
      <c r="N22" s="300">
        <f>+'[2]Vyhodnocení hosp. 1.pol. 2023'!N22</f>
        <v>0</v>
      </c>
      <c r="O22" s="282">
        <f t="shared" ref="O22:O23" si="12">M22+N22</f>
        <v>200000</v>
      </c>
      <c r="P22" s="294">
        <f>+'[2]Vyhodnocení hosp. 1.pol. 2023'!P22</f>
        <v>0</v>
      </c>
      <c r="Q22" s="287">
        <f>+'[2]Vyhodnocení hosp. 1.pol. 2023'!Q22</f>
        <v>0</v>
      </c>
      <c r="R22" s="298">
        <f>+'[2]Vyhodnocení hosp. 1.pol. 2023'!R22</f>
        <v>0</v>
      </c>
      <c r="S22" s="288">
        <f t="shared" si="5"/>
        <v>0</v>
      </c>
      <c r="T22" s="300">
        <f>+'[2]Vyhodnocení hosp. 1.pol. 2023'!T22</f>
        <v>0</v>
      </c>
      <c r="U22" s="282">
        <f t="shared" ref="U22:U23" si="13">S22+T22</f>
        <v>0</v>
      </c>
      <c r="V22" s="294">
        <f t="shared" si="11"/>
        <v>0</v>
      </c>
      <c r="W22" s="287">
        <f t="shared" si="1"/>
        <v>0</v>
      </c>
      <c r="X22" s="298">
        <f t="shared" si="1"/>
        <v>200000</v>
      </c>
      <c r="Y22" s="288">
        <f t="shared" si="7"/>
        <v>200000</v>
      </c>
      <c r="Z22" s="300">
        <f t="shared" si="8"/>
        <v>0</v>
      </c>
      <c r="AA22" s="282">
        <f t="shared" ref="AA22:AA23" si="14">Y22+Z22</f>
        <v>200000</v>
      </c>
      <c r="AB22" s="283">
        <f t="shared" si="10"/>
        <v>1</v>
      </c>
      <c r="AC22" s="4"/>
      <c r="AD22" s="4"/>
    </row>
    <row r="23" spans="1:30" ht="15.75" thickBot="1" x14ac:dyDescent="0.3">
      <c r="A23" s="4"/>
      <c r="B23" s="301" t="s">
        <v>15</v>
      </c>
      <c r="C23" s="302" t="s">
        <v>6</v>
      </c>
      <c r="D23" s="303">
        <f>+'[1]Vyhodnocení hospodaření PO'!P23</f>
        <v>289256.20999999996</v>
      </c>
      <c r="E23" s="304">
        <f>+'[1]Vyhodnocení hospodaření PO'!Q23</f>
        <v>0</v>
      </c>
      <c r="F23" s="305">
        <f>+'[1]Vyhodnocení hospodaření PO'!R23</f>
        <v>289256.20999999996</v>
      </c>
      <c r="G23" s="306">
        <f t="shared" si="2"/>
        <v>578512.41999999993</v>
      </c>
      <c r="H23" s="307">
        <f>+'[1]Vyhodnocení hospodaření PO'!T23</f>
        <v>0</v>
      </c>
      <c r="I23" s="308">
        <f t="shared" si="3"/>
        <v>578512.41999999993</v>
      </c>
      <c r="J23" s="303">
        <f>+'[2]Vyhodnocení hosp. 1.pol. 2023'!J23</f>
        <v>0</v>
      </c>
      <c r="K23" s="304">
        <f>+'[2]Vyhodnocení hosp. 1.pol. 2023'!K23</f>
        <v>0</v>
      </c>
      <c r="L23" s="305">
        <f>+'[2]Vyhodnocení hosp. 1.pol. 2023'!L23</f>
        <v>250000</v>
      </c>
      <c r="M23" s="306">
        <f t="shared" si="0"/>
        <v>250000</v>
      </c>
      <c r="N23" s="307">
        <f>+'[2]Vyhodnocení hosp. 1.pol. 2023'!N23</f>
        <v>0</v>
      </c>
      <c r="O23" s="308">
        <f t="shared" si="12"/>
        <v>250000</v>
      </c>
      <c r="P23" s="303">
        <f>+'[2]Vyhodnocení hosp. 1.pol. 2023'!P23</f>
        <v>546454.55000000005</v>
      </c>
      <c r="Q23" s="304">
        <f>+'[2]Vyhodnocení hosp. 1.pol. 2023'!Q23</f>
        <v>0</v>
      </c>
      <c r="R23" s="305">
        <f>+'[2]Vyhodnocení hosp. 1.pol. 2023'!R23</f>
        <v>546454.55000000005</v>
      </c>
      <c r="S23" s="288">
        <f t="shared" si="5"/>
        <v>1092909.1000000001</v>
      </c>
      <c r="T23" s="307">
        <f>+'[2]Vyhodnocení hosp. 1.pol. 2023'!T23</f>
        <v>0</v>
      </c>
      <c r="U23" s="308">
        <f t="shared" si="13"/>
        <v>1092909.1000000001</v>
      </c>
      <c r="V23" s="303">
        <f t="shared" si="11"/>
        <v>0</v>
      </c>
      <c r="W23" s="304">
        <f t="shared" si="1"/>
        <v>0</v>
      </c>
      <c r="X23" s="305">
        <f t="shared" si="1"/>
        <v>250000</v>
      </c>
      <c r="Y23" s="306">
        <f t="shared" si="7"/>
        <v>250000</v>
      </c>
      <c r="Z23" s="307">
        <f t="shared" si="8"/>
        <v>0</v>
      </c>
      <c r="AA23" s="308">
        <f t="shared" si="14"/>
        <v>250000</v>
      </c>
      <c r="AB23" s="309">
        <f t="shared" si="10"/>
        <v>1</v>
      </c>
      <c r="AC23" s="4"/>
      <c r="AD23" s="4"/>
    </row>
    <row r="24" spans="1:30" ht="15.75" thickBot="1" x14ac:dyDescent="0.3">
      <c r="A24" s="4"/>
      <c r="B24" s="310" t="s">
        <v>17</v>
      </c>
      <c r="C24" s="311" t="s">
        <v>8</v>
      </c>
      <c r="D24" s="312">
        <f>SUM(D15:D21)</f>
        <v>158189064</v>
      </c>
      <c r="E24" s="313">
        <f>SUM(E15:E21)</f>
        <v>0</v>
      </c>
      <c r="F24" s="313">
        <f>SUM(F15:F21)</f>
        <v>27681947.610000003</v>
      </c>
      <c r="G24" s="314">
        <f>SUM(D24:F24)</f>
        <v>185871011.61000001</v>
      </c>
      <c r="H24" s="315">
        <f>SUM(H15:H21)</f>
        <v>18775771.949999999</v>
      </c>
      <c r="I24" s="315">
        <f>SUM(I15:I21)</f>
        <v>204646783.56</v>
      </c>
      <c r="J24" s="312">
        <f>SUM(J15:J21)</f>
        <v>169016600</v>
      </c>
      <c r="K24" s="313">
        <f>SUM(K15:K21)</f>
        <v>0</v>
      </c>
      <c r="L24" s="313">
        <f>SUM(L15:L21)</f>
        <v>23660000</v>
      </c>
      <c r="M24" s="314">
        <f>SUM(J24:L24)</f>
        <v>192676600</v>
      </c>
      <c r="N24" s="315">
        <f>SUM(N15:N21)</f>
        <v>17100000</v>
      </c>
      <c r="O24" s="315">
        <f>SUM(O15:O21)</f>
        <v>209776600</v>
      </c>
      <c r="P24" s="312">
        <f>SUM(P15:P21)</f>
        <v>84508300</v>
      </c>
      <c r="Q24" s="313">
        <f>SUM(Q15:Q21)</f>
        <v>0</v>
      </c>
      <c r="R24" s="313">
        <f>SUM(R15:R21)</f>
        <v>14237157.310000001</v>
      </c>
      <c r="S24" s="314">
        <f>SUM(P24:R24)</f>
        <v>98745457.310000002</v>
      </c>
      <c r="T24" s="315">
        <f>SUM(T15:T21)</f>
        <v>11126899.939999999</v>
      </c>
      <c r="U24" s="315">
        <f>SUM(U15:U21)</f>
        <v>109872357.25</v>
      </c>
      <c r="V24" s="312">
        <f>SUM(V15:V21)</f>
        <v>171816600</v>
      </c>
      <c r="W24" s="313">
        <f>SUM(W15:W21)</f>
        <v>0</v>
      </c>
      <c r="X24" s="313">
        <f>SUM(X15:X21)</f>
        <v>23660000</v>
      </c>
      <c r="Y24" s="314">
        <f>SUM(V24:X24)</f>
        <v>195476600</v>
      </c>
      <c r="Z24" s="315">
        <f>SUM(Z15:Z21)</f>
        <v>17100000</v>
      </c>
      <c r="AA24" s="315">
        <f>SUM(AA15:AA21)</f>
        <v>212576600</v>
      </c>
      <c r="AB24" s="316">
        <f t="shared" si="10"/>
        <v>1.0133475325655961</v>
      </c>
      <c r="AC24" s="4"/>
      <c r="AD24" s="4"/>
    </row>
    <row r="25" spans="1:30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2"/>
      <c r="J25" s="319" t="s">
        <v>68</v>
      </c>
      <c r="K25" s="320"/>
      <c r="L25" s="320"/>
      <c r="M25" s="321"/>
      <c r="N25" s="321"/>
      <c r="O25" s="322"/>
      <c r="P25" s="319" t="s">
        <v>68</v>
      </c>
      <c r="Q25" s="320"/>
      <c r="R25" s="320"/>
      <c r="S25" s="321"/>
      <c r="T25" s="321"/>
      <c r="U25" s="322"/>
      <c r="V25" s="319" t="s">
        <v>68</v>
      </c>
      <c r="W25" s="320"/>
      <c r="X25" s="320"/>
      <c r="Y25" s="321"/>
      <c r="Z25" s="321"/>
      <c r="AA25" s="322"/>
      <c r="AB25" s="323" t="s">
        <v>99</v>
      </c>
      <c r="AC25" s="4"/>
      <c r="AD25" s="4"/>
    </row>
    <row r="26" spans="1:30" ht="15.75" thickBot="1" x14ac:dyDescent="0.3">
      <c r="A26" s="4"/>
      <c r="B26" s="324" t="s">
        <v>37</v>
      </c>
      <c r="C26" s="244" t="s">
        <v>38</v>
      </c>
      <c r="D26" s="325" t="s">
        <v>69</v>
      </c>
      <c r="E26" s="326"/>
      <c r="F26" s="326"/>
      <c r="G26" s="264" t="s">
        <v>64</v>
      </c>
      <c r="H26" s="327" t="s">
        <v>67</v>
      </c>
      <c r="I26" s="328" t="s">
        <v>68</v>
      </c>
      <c r="J26" s="325" t="s">
        <v>69</v>
      </c>
      <c r="K26" s="326"/>
      <c r="L26" s="326"/>
      <c r="M26" s="264" t="s">
        <v>64</v>
      </c>
      <c r="N26" s="327" t="s">
        <v>67</v>
      </c>
      <c r="O26" s="328" t="s">
        <v>68</v>
      </c>
      <c r="P26" s="325" t="s">
        <v>69</v>
      </c>
      <c r="Q26" s="326"/>
      <c r="R26" s="326"/>
      <c r="S26" s="264" t="s">
        <v>64</v>
      </c>
      <c r="T26" s="327" t="s">
        <v>67</v>
      </c>
      <c r="U26" s="328" t="s">
        <v>68</v>
      </c>
      <c r="V26" s="325" t="s">
        <v>69</v>
      </c>
      <c r="W26" s="326"/>
      <c r="X26" s="326"/>
      <c r="Y26" s="264" t="s">
        <v>64</v>
      </c>
      <c r="Z26" s="327" t="s">
        <v>67</v>
      </c>
      <c r="AA26" s="328" t="s">
        <v>68</v>
      </c>
      <c r="AB26" s="329"/>
      <c r="AC26" s="4"/>
      <c r="AD26" s="4"/>
    </row>
    <row r="27" spans="1:30" ht="15.75" thickBot="1" x14ac:dyDescent="0.3">
      <c r="A27" s="4"/>
      <c r="B27" s="330"/>
      <c r="C27" s="250"/>
      <c r="D27" s="331" t="s">
        <v>54</v>
      </c>
      <c r="E27" s="332" t="s">
        <v>55</v>
      </c>
      <c r="F27" s="333" t="s">
        <v>56</v>
      </c>
      <c r="G27" s="271"/>
      <c r="H27" s="334"/>
      <c r="I27" s="335"/>
      <c r="J27" s="331" t="s">
        <v>54</v>
      </c>
      <c r="K27" s="332" t="s">
        <v>55</v>
      </c>
      <c r="L27" s="333" t="s">
        <v>56</v>
      </c>
      <c r="M27" s="271"/>
      <c r="N27" s="334"/>
      <c r="O27" s="335"/>
      <c r="P27" s="331" t="s">
        <v>54</v>
      </c>
      <c r="Q27" s="332" t="s">
        <v>55</v>
      </c>
      <c r="R27" s="333" t="s">
        <v>56</v>
      </c>
      <c r="S27" s="271"/>
      <c r="T27" s="334"/>
      <c r="U27" s="335"/>
      <c r="V27" s="331" t="s">
        <v>54</v>
      </c>
      <c r="W27" s="332" t="s">
        <v>55</v>
      </c>
      <c r="X27" s="333" t="s">
        <v>56</v>
      </c>
      <c r="Y27" s="271"/>
      <c r="Z27" s="334"/>
      <c r="AA27" s="335"/>
      <c r="AB27" s="336"/>
      <c r="AC27" s="4"/>
      <c r="AD27" s="4"/>
    </row>
    <row r="28" spans="1:30" x14ac:dyDescent="0.25">
      <c r="A28" s="4"/>
      <c r="B28" s="275" t="s">
        <v>19</v>
      </c>
      <c r="C28" s="276" t="s">
        <v>10</v>
      </c>
      <c r="D28" s="337">
        <f>+'[1]Vyhodnocení hospodaření PO'!P28</f>
        <v>5824244.957958594</v>
      </c>
      <c r="E28" s="337">
        <f>+'[1]Vyhodnocení hospodaření PO'!Q28</f>
        <v>0</v>
      </c>
      <c r="F28" s="337">
        <f>+'[1]Vyhodnocení hospodaření PO'!R28</f>
        <v>832109.71204140631</v>
      </c>
      <c r="G28" s="338">
        <f>SUM(D28:F28)</f>
        <v>6656354.6699999999</v>
      </c>
      <c r="H28" s="338">
        <f>+'[1]Vyhodnocení hospodaření PO'!T28</f>
        <v>47702.67</v>
      </c>
      <c r="I28" s="339">
        <f>G28+H28</f>
        <v>6704057.3399999999</v>
      </c>
      <c r="J28" s="340">
        <f>+'[2]Vyhodnocení hosp. 1.pol. 2023'!J28</f>
        <v>5880000</v>
      </c>
      <c r="K28" s="337">
        <f>+'[2]Vyhodnocení hosp. 1.pol. 2023'!K28</f>
        <v>0</v>
      </c>
      <c r="L28" s="337">
        <f>+'[2]Vyhodnocení hosp. 1.pol. 2023'!L28</f>
        <v>1020000</v>
      </c>
      <c r="M28" s="338">
        <f>SUM(J28:L28)</f>
        <v>6900000</v>
      </c>
      <c r="N28" s="338">
        <f>+'[2]Vyhodnocení hosp. 1.pol. 2023'!N28</f>
        <v>30000</v>
      </c>
      <c r="O28" s="339">
        <f>M28+N28</f>
        <v>6930000</v>
      </c>
      <c r="P28" s="340">
        <f>+'[2]Vyhodnocení hosp. 1.pol. 2023'!P28</f>
        <v>3638154.9783049845</v>
      </c>
      <c r="Q28" s="337">
        <f>+'[2]Vyhodnocení hosp. 1.pol. 2023'!Q28</f>
        <v>0</v>
      </c>
      <c r="R28" s="337">
        <f>+'[2]Vyhodnocení hosp. 1.pol. 2023'!R28</f>
        <v>507408.66169501567</v>
      </c>
      <c r="S28" s="338">
        <f>SUM(P28:R28)</f>
        <v>4145563.64</v>
      </c>
      <c r="T28" s="338">
        <f>+'[2]Vyhodnocení hosp. 1.pol. 2023'!T28</f>
        <v>115740.87</v>
      </c>
      <c r="U28" s="339">
        <f>S28+T28</f>
        <v>4261304.51</v>
      </c>
      <c r="V28" s="500">
        <f>+J28</f>
        <v>5880000</v>
      </c>
      <c r="W28" s="337">
        <f t="shared" ref="W28:X38" si="15">+K28</f>
        <v>0</v>
      </c>
      <c r="X28" s="337">
        <f t="shared" si="15"/>
        <v>1020000</v>
      </c>
      <c r="Y28" s="338">
        <f>SUM(V28:X28)</f>
        <v>6900000</v>
      </c>
      <c r="Z28" s="338">
        <f>+N28</f>
        <v>30000</v>
      </c>
      <c r="AA28" s="339">
        <f>Y28+Z28</f>
        <v>6930000</v>
      </c>
      <c r="AB28" s="283">
        <f t="shared" ref="AB28:AB41" si="16">(AA28/O28)</f>
        <v>1</v>
      </c>
      <c r="AC28" s="4"/>
      <c r="AD28" s="4"/>
    </row>
    <row r="29" spans="1:30" x14ac:dyDescent="0.25">
      <c r="A29" s="4"/>
      <c r="B29" s="284" t="s">
        <v>20</v>
      </c>
      <c r="C29" s="299" t="s">
        <v>12</v>
      </c>
      <c r="D29" s="341">
        <f>+'[1]Vyhodnocení hospodaření PO'!P29</f>
        <v>12420241.464104768</v>
      </c>
      <c r="E29" s="341">
        <f>+'[1]Vyhodnocení hospodaření PO'!Q29</f>
        <v>0</v>
      </c>
      <c r="F29" s="341">
        <f>+'[1]Vyhodnocení hospodaření PO'!R29</f>
        <v>1774479.5458952312</v>
      </c>
      <c r="G29" s="342">
        <f t="shared" ref="G29:G38" si="17">SUM(D29:F29)</f>
        <v>14194721.01</v>
      </c>
      <c r="H29" s="342">
        <f>+'[1]Vyhodnocení hospodaření PO'!T29</f>
        <v>2759743.47</v>
      </c>
      <c r="I29" s="282">
        <f t="shared" ref="I29:I38" si="18">G29+H29</f>
        <v>16954464.48</v>
      </c>
      <c r="J29" s="343">
        <f>+'[2]Vyhodnocení hosp. 1.pol. 2023'!J29</f>
        <v>10212966</v>
      </c>
      <c r="K29" s="341">
        <f>+'[2]Vyhodnocení hosp. 1.pol. 2023'!K29</f>
        <v>0</v>
      </c>
      <c r="L29" s="341">
        <f>+'[2]Vyhodnocení hosp. 1.pol. 2023'!L29</f>
        <v>1430000</v>
      </c>
      <c r="M29" s="342">
        <f t="shared" ref="M29:M38" si="19">SUM(J29:L29)</f>
        <v>11642966</v>
      </c>
      <c r="N29" s="342">
        <f>+'[2]Vyhodnocení hosp. 1.pol. 2023'!N29</f>
        <v>2300000</v>
      </c>
      <c r="O29" s="282">
        <f t="shared" ref="O29:O38" si="20">M29+N29</f>
        <v>13942966</v>
      </c>
      <c r="P29" s="343">
        <f>+'[2]Vyhodnocení hosp. 1.pol. 2023'!P29</f>
        <v>5382899.6124114431</v>
      </c>
      <c r="Q29" s="341">
        <f>+'[2]Vyhodnocení hosp. 1.pol. 2023'!Q29</f>
        <v>0</v>
      </c>
      <c r="R29" s="341">
        <f>+'[2]Vyhodnocení hosp. 1.pol. 2023'!R29</f>
        <v>750745.8875885586</v>
      </c>
      <c r="S29" s="342">
        <f t="shared" ref="S29:S38" si="21">SUM(P29:R29)</f>
        <v>6133645.5000000019</v>
      </c>
      <c r="T29" s="342">
        <f>+'[2]Vyhodnocení hosp. 1.pol. 2023'!T29</f>
        <v>1324062.8199999998</v>
      </c>
      <c r="U29" s="282">
        <f t="shared" ref="U29:U38" si="22">S29+T29</f>
        <v>7457708.3200000022</v>
      </c>
      <c r="V29" s="501">
        <f>+J29+352000</f>
        <v>10564966</v>
      </c>
      <c r="W29" s="341">
        <f t="shared" si="15"/>
        <v>0</v>
      </c>
      <c r="X29" s="341">
        <f t="shared" si="15"/>
        <v>1430000</v>
      </c>
      <c r="Y29" s="342">
        <f t="shared" ref="Y29:Y38" si="23">SUM(V29:X29)</f>
        <v>11994966</v>
      </c>
      <c r="Z29" s="342">
        <f t="shared" ref="Z29:Z38" si="24">+N29</f>
        <v>2300000</v>
      </c>
      <c r="AA29" s="282">
        <f t="shared" ref="AA29:AA38" si="25">Y29+Z29</f>
        <v>14294966</v>
      </c>
      <c r="AB29" s="283">
        <f t="shared" si="16"/>
        <v>1.0252457045366101</v>
      </c>
      <c r="AC29" s="4"/>
      <c r="AD29" s="4"/>
    </row>
    <row r="30" spans="1:30" x14ac:dyDescent="0.25">
      <c r="A30" s="4"/>
      <c r="B30" s="284" t="s">
        <v>22</v>
      </c>
      <c r="C30" s="299" t="s">
        <v>14</v>
      </c>
      <c r="D30" s="341">
        <f>+'[1]Vyhodnocení hospodaření PO'!P30</f>
        <v>15561282.692801224</v>
      </c>
      <c r="E30" s="341">
        <f>+'[1]Vyhodnocení hospodaření PO'!Q30</f>
        <v>0</v>
      </c>
      <c r="F30" s="341">
        <f>+'[1]Vyhodnocení hospodaření PO'!R30</f>
        <v>2223240.0171987759</v>
      </c>
      <c r="G30" s="342">
        <f t="shared" si="17"/>
        <v>17784522.710000001</v>
      </c>
      <c r="H30" s="342">
        <f>+'[1]Vyhodnocení hospodaření PO'!T30</f>
        <v>144582.79999999999</v>
      </c>
      <c r="I30" s="282">
        <f t="shared" si="18"/>
        <v>17929105.510000002</v>
      </c>
      <c r="J30" s="343">
        <f>+'[2]Vyhodnocení hosp. 1.pol. 2023'!J30</f>
        <v>19011472</v>
      </c>
      <c r="K30" s="341">
        <f>+'[2]Vyhodnocení hosp. 1.pol. 2023'!K30</f>
        <v>0</v>
      </c>
      <c r="L30" s="341">
        <f>+'[2]Vyhodnocení hosp. 1.pol. 2023'!L30</f>
        <v>1700000</v>
      </c>
      <c r="M30" s="342">
        <f t="shared" si="19"/>
        <v>20711472</v>
      </c>
      <c r="N30" s="342">
        <f>+'[2]Vyhodnocení hosp. 1.pol. 2023'!N30</f>
        <v>70000</v>
      </c>
      <c r="O30" s="282">
        <f t="shared" si="20"/>
        <v>20781472</v>
      </c>
      <c r="P30" s="343">
        <f>+'[2]Vyhodnocení hosp. 1.pol. 2023'!P30</f>
        <v>5961359.690587135</v>
      </c>
      <c r="Q30" s="341">
        <f>+'[2]Vyhodnocení hosp. 1.pol. 2023'!Q30</f>
        <v>0</v>
      </c>
      <c r="R30" s="341">
        <f>+'[2]Vyhodnocení hosp. 1.pol. 2023'!R30</f>
        <v>831422.9494128658</v>
      </c>
      <c r="S30" s="342">
        <f t="shared" si="21"/>
        <v>6792782.6400000006</v>
      </c>
      <c r="T30" s="342">
        <f>+'[2]Vyhodnocení hosp. 1.pol. 2023'!T30</f>
        <v>80275.89</v>
      </c>
      <c r="U30" s="282">
        <f t="shared" si="22"/>
        <v>6873058.5300000003</v>
      </c>
      <c r="V30" s="501">
        <f t="shared" ref="V30:V38" si="26">+J30</f>
        <v>19011472</v>
      </c>
      <c r="W30" s="341">
        <f t="shared" si="15"/>
        <v>0</v>
      </c>
      <c r="X30" s="341">
        <f t="shared" si="15"/>
        <v>1700000</v>
      </c>
      <c r="Y30" s="342">
        <f t="shared" si="23"/>
        <v>20711472</v>
      </c>
      <c r="Z30" s="342">
        <f t="shared" si="24"/>
        <v>70000</v>
      </c>
      <c r="AA30" s="282">
        <f t="shared" si="25"/>
        <v>20781472</v>
      </c>
      <c r="AB30" s="283">
        <f t="shared" si="16"/>
        <v>1</v>
      </c>
      <c r="AC30" s="4"/>
      <c r="AD30" s="4"/>
    </row>
    <row r="31" spans="1:30" x14ac:dyDescent="0.25">
      <c r="A31" s="4"/>
      <c r="B31" s="284" t="s">
        <v>24</v>
      </c>
      <c r="C31" s="299" t="s">
        <v>16</v>
      </c>
      <c r="D31" s="341">
        <f>+'[1]Vyhodnocení hospodaření PO'!P31</f>
        <v>30764210.778203163</v>
      </c>
      <c r="E31" s="341">
        <f>+'[1]Vyhodnocení hospodaření PO'!Q31</f>
        <v>0</v>
      </c>
      <c r="F31" s="341">
        <f>+'[1]Vyhodnocení hospodaření PO'!R31</f>
        <v>4395281.9217968332</v>
      </c>
      <c r="G31" s="342">
        <f t="shared" si="17"/>
        <v>35159492.699999996</v>
      </c>
      <c r="H31" s="342">
        <f>+'[1]Vyhodnocení hospodaření PO'!T31</f>
        <v>4292766.88</v>
      </c>
      <c r="I31" s="282">
        <f t="shared" si="18"/>
        <v>39452259.579999998</v>
      </c>
      <c r="J31" s="343">
        <f>+'[2]Vyhodnocení hosp. 1.pol. 2023'!J31</f>
        <v>34404789</v>
      </c>
      <c r="K31" s="341">
        <f>+'[2]Vyhodnocení hosp. 1.pol. 2023'!K31</f>
        <v>0</v>
      </c>
      <c r="L31" s="341">
        <f>+'[2]Vyhodnocení hosp. 1.pol. 2023'!L31</f>
        <v>5000000</v>
      </c>
      <c r="M31" s="342">
        <f t="shared" si="19"/>
        <v>39404789</v>
      </c>
      <c r="N31" s="342">
        <f>+'[2]Vyhodnocení hosp. 1.pol. 2023'!N31</f>
        <v>4000000</v>
      </c>
      <c r="O31" s="282">
        <f t="shared" si="20"/>
        <v>43404789</v>
      </c>
      <c r="P31" s="343">
        <f>+'[2]Vyhodnocení hosp. 1.pol. 2023'!P31</f>
        <v>17366046.832794771</v>
      </c>
      <c r="Q31" s="341">
        <f>+'[2]Vyhodnocení hosp. 1.pol. 2023'!Q31</f>
        <v>0</v>
      </c>
      <c r="R31" s="341">
        <f>+'[2]Vyhodnocení hosp. 1.pol. 2023'!R31</f>
        <v>2422019.5772052351</v>
      </c>
      <c r="S31" s="342">
        <f t="shared" si="21"/>
        <v>19788066.410000004</v>
      </c>
      <c r="T31" s="342">
        <f>+'[2]Vyhodnocení hosp. 1.pol. 2023'!T31</f>
        <v>2397177.1000000006</v>
      </c>
      <c r="U31" s="282">
        <f t="shared" si="22"/>
        <v>22185243.510000005</v>
      </c>
      <c r="V31" s="501">
        <f t="shared" si="26"/>
        <v>34404789</v>
      </c>
      <c r="W31" s="341">
        <f t="shared" si="15"/>
        <v>0</v>
      </c>
      <c r="X31" s="341">
        <f t="shared" si="15"/>
        <v>5000000</v>
      </c>
      <c r="Y31" s="342">
        <f t="shared" si="23"/>
        <v>39404789</v>
      </c>
      <c r="Z31" s="342">
        <f t="shared" si="24"/>
        <v>4000000</v>
      </c>
      <c r="AA31" s="282">
        <f t="shared" si="25"/>
        <v>43404789</v>
      </c>
      <c r="AB31" s="283">
        <f t="shared" si="16"/>
        <v>1</v>
      </c>
      <c r="AC31" s="4"/>
      <c r="AD31" s="4"/>
    </row>
    <row r="32" spans="1:30" x14ac:dyDescent="0.25">
      <c r="A32" s="4"/>
      <c r="B32" s="284" t="s">
        <v>26</v>
      </c>
      <c r="C32" s="299" t="s">
        <v>18</v>
      </c>
      <c r="D32" s="345">
        <f>+'[1]Vyhodnocení hospodaření PO'!P32</f>
        <v>52484220.416837104</v>
      </c>
      <c r="E32" s="341">
        <f>+'[1]Vyhodnocení hospodaření PO'!Q32</f>
        <v>0</v>
      </c>
      <c r="F32" s="341">
        <f>+'[1]Vyhodnocení hospodaření PO'!R32</f>
        <v>7498419.0831629001</v>
      </c>
      <c r="G32" s="342">
        <f t="shared" si="17"/>
        <v>59982639.5</v>
      </c>
      <c r="H32" s="342">
        <f>+'[1]Vyhodnocení hospodaření PO'!T32</f>
        <v>3371925.5</v>
      </c>
      <c r="I32" s="282">
        <f t="shared" si="18"/>
        <v>63354565</v>
      </c>
      <c r="J32" s="346">
        <f>+'[2]Vyhodnocení hosp. 1.pol. 2023'!J32</f>
        <v>59010348</v>
      </c>
      <c r="K32" s="341">
        <f>+'[2]Vyhodnocení hosp. 1.pol. 2023'!K32</f>
        <v>0</v>
      </c>
      <c r="L32" s="341">
        <f>+'[2]Vyhodnocení hosp. 1.pol. 2023'!L32</f>
        <v>8100000</v>
      </c>
      <c r="M32" s="342">
        <f t="shared" si="19"/>
        <v>67110348</v>
      </c>
      <c r="N32" s="342">
        <f>+'[2]Vyhodnocení hosp. 1.pol. 2023'!N32</f>
        <v>3300000</v>
      </c>
      <c r="O32" s="282">
        <f t="shared" si="20"/>
        <v>70410348</v>
      </c>
      <c r="P32" s="346">
        <f>+'[2]Vyhodnocení hosp. 1.pol. 2023'!P32</f>
        <v>28981131.877841227</v>
      </c>
      <c r="Q32" s="341">
        <f>+'[2]Vyhodnocení hosp. 1.pol. 2023'!Q32</f>
        <v>0</v>
      </c>
      <c r="R32" s="341">
        <f>+'[2]Vyhodnocení hosp. 1.pol. 2023'!R32</f>
        <v>4041960.1221587756</v>
      </c>
      <c r="S32" s="342">
        <f t="shared" si="21"/>
        <v>33023092.000000004</v>
      </c>
      <c r="T32" s="342">
        <f>+'[2]Vyhodnocení hosp. 1.pol. 2023'!T32</f>
        <v>1917061</v>
      </c>
      <c r="U32" s="282">
        <f t="shared" si="22"/>
        <v>34940153</v>
      </c>
      <c r="V32" s="501">
        <f>+J32+1800000</f>
        <v>60810348</v>
      </c>
      <c r="W32" s="341">
        <f t="shared" si="15"/>
        <v>0</v>
      </c>
      <c r="X32" s="341">
        <f t="shared" si="15"/>
        <v>8100000</v>
      </c>
      <c r="Y32" s="342">
        <f t="shared" si="23"/>
        <v>68910348</v>
      </c>
      <c r="Z32" s="342">
        <f t="shared" si="24"/>
        <v>3300000</v>
      </c>
      <c r="AA32" s="282">
        <f t="shared" si="25"/>
        <v>72210348</v>
      </c>
      <c r="AB32" s="283">
        <f t="shared" si="16"/>
        <v>1.0255644241383384</v>
      </c>
      <c r="AC32" s="4"/>
      <c r="AD32" s="4"/>
    </row>
    <row r="33" spans="1:30" x14ac:dyDescent="0.25">
      <c r="A33" s="4"/>
      <c r="B33" s="284" t="s">
        <v>28</v>
      </c>
      <c r="C33" s="295" t="s">
        <v>42</v>
      </c>
      <c r="D33" s="345">
        <f>+'[1]Vyhodnocení hospodaření PO'!P33</f>
        <v>51387011.608221069</v>
      </c>
      <c r="E33" s="341">
        <f>+'[1]Vyhodnocení hospodaření PO'!Q33</f>
        <v>0</v>
      </c>
      <c r="F33" s="341">
        <f>+'[1]Vyhodnocení hospodaření PO'!R33</f>
        <v>7341660.891778932</v>
      </c>
      <c r="G33" s="342">
        <f t="shared" si="17"/>
        <v>58728672.5</v>
      </c>
      <c r="H33" s="342">
        <f>+'[1]Vyhodnocení hospodaření PO'!T33</f>
        <v>3371925.5</v>
      </c>
      <c r="I33" s="282">
        <f t="shared" si="18"/>
        <v>62100598</v>
      </c>
      <c r="J33" s="346">
        <f>+'[2]Vyhodnocení hosp. 1.pol. 2023'!J33</f>
        <v>58110348</v>
      </c>
      <c r="K33" s="341">
        <f>+'[2]Vyhodnocení hosp. 1.pol. 2023'!K33</f>
        <v>0</v>
      </c>
      <c r="L33" s="341">
        <f>+'[2]Vyhodnocení hosp. 1.pol. 2023'!L33</f>
        <v>7900000</v>
      </c>
      <c r="M33" s="342">
        <f t="shared" si="19"/>
        <v>66010348</v>
      </c>
      <c r="N33" s="342">
        <f>+'[2]Vyhodnocení hosp. 1.pol. 2023'!N33</f>
        <v>3300000</v>
      </c>
      <c r="O33" s="282">
        <f t="shared" si="20"/>
        <v>69310348</v>
      </c>
      <c r="P33" s="346">
        <f>+'[2]Vyhodnocení hosp. 1.pol. 2023'!P33</f>
        <v>28525921.471051563</v>
      </c>
      <c r="Q33" s="341">
        <f>+'[2]Vyhodnocení hosp. 1.pol. 2023'!Q33</f>
        <v>0</v>
      </c>
      <c r="R33" s="341">
        <f>+'[2]Vyhodnocení hosp. 1.pol. 2023'!R33</f>
        <v>3978472.5289484393</v>
      </c>
      <c r="S33" s="342">
        <f t="shared" si="21"/>
        <v>32504394</v>
      </c>
      <c r="T33" s="342">
        <f>+'[2]Vyhodnocení hosp. 1.pol. 2023'!T33</f>
        <v>1917061</v>
      </c>
      <c r="U33" s="282">
        <f t="shared" si="22"/>
        <v>34421455</v>
      </c>
      <c r="V33" s="501">
        <f>+J33+1800000</f>
        <v>59910348</v>
      </c>
      <c r="W33" s="341">
        <f t="shared" si="15"/>
        <v>0</v>
      </c>
      <c r="X33" s="341">
        <f t="shared" si="15"/>
        <v>7900000</v>
      </c>
      <c r="Y33" s="342">
        <f t="shared" si="23"/>
        <v>67810348</v>
      </c>
      <c r="Z33" s="342">
        <f t="shared" si="24"/>
        <v>3300000</v>
      </c>
      <c r="AA33" s="282">
        <f t="shared" si="25"/>
        <v>71110348</v>
      </c>
      <c r="AB33" s="283">
        <f t="shared" si="16"/>
        <v>1.025970148065048</v>
      </c>
      <c r="AC33" s="4"/>
      <c r="AD33" s="4"/>
    </row>
    <row r="34" spans="1:30" x14ac:dyDescent="0.25">
      <c r="A34" s="4"/>
      <c r="B34" s="284" t="s">
        <v>30</v>
      </c>
      <c r="C34" s="349" t="s">
        <v>21</v>
      </c>
      <c r="D34" s="345">
        <f>+'[1]Vyhodnocení hospodaření PO'!P34</f>
        <v>1097208.8086160324</v>
      </c>
      <c r="E34" s="341">
        <f>+'[1]Vyhodnocení hospodaření PO'!Q34</f>
        <v>0</v>
      </c>
      <c r="F34" s="341">
        <f>+'[1]Vyhodnocení hospodaření PO'!R34</f>
        <v>156758.19138396755</v>
      </c>
      <c r="G34" s="342">
        <f t="shared" si="17"/>
        <v>1253967</v>
      </c>
      <c r="H34" s="342">
        <f>+'[1]Vyhodnocení hospodaření PO'!T34</f>
        <v>0</v>
      </c>
      <c r="I34" s="282">
        <f t="shared" si="18"/>
        <v>1253967</v>
      </c>
      <c r="J34" s="346">
        <f>+'[2]Vyhodnocení hosp. 1.pol. 2023'!J34</f>
        <v>900000</v>
      </c>
      <c r="K34" s="341">
        <f>+'[2]Vyhodnocení hosp. 1.pol. 2023'!K34</f>
        <v>0</v>
      </c>
      <c r="L34" s="341">
        <f>+'[2]Vyhodnocení hosp. 1.pol. 2023'!L34</f>
        <v>200000</v>
      </c>
      <c r="M34" s="342">
        <f>SUM(J34:L34)</f>
        <v>1100000</v>
      </c>
      <c r="N34" s="342">
        <f>+'[2]Vyhodnocení hosp. 1.pol. 2023'!N34</f>
        <v>0</v>
      </c>
      <c r="O34" s="282">
        <f t="shared" si="20"/>
        <v>1100000</v>
      </c>
      <c r="P34" s="346">
        <f>+'[2]Vyhodnocení hosp. 1.pol. 2023'!P34</f>
        <v>455210.40678966366</v>
      </c>
      <c r="Q34" s="341">
        <f>+'[2]Vyhodnocení hosp. 1.pol. 2023'!Q34</f>
        <v>0</v>
      </c>
      <c r="R34" s="341">
        <f>+'[2]Vyhodnocení hosp. 1.pol. 2023'!R34</f>
        <v>63487.593210336352</v>
      </c>
      <c r="S34" s="342">
        <f t="shared" si="21"/>
        <v>518698</v>
      </c>
      <c r="T34" s="342">
        <f>+'[2]Vyhodnocení hosp. 1.pol. 2023'!T34</f>
        <v>0</v>
      </c>
      <c r="U34" s="282">
        <f t="shared" si="22"/>
        <v>518698</v>
      </c>
      <c r="V34" s="501">
        <f>+J34</f>
        <v>900000</v>
      </c>
      <c r="W34" s="341">
        <f t="shared" si="15"/>
        <v>0</v>
      </c>
      <c r="X34" s="341">
        <f t="shared" si="15"/>
        <v>200000</v>
      </c>
      <c r="Y34" s="342">
        <f t="shared" si="23"/>
        <v>1100000</v>
      </c>
      <c r="Z34" s="342">
        <f t="shared" si="24"/>
        <v>0</v>
      </c>
      <c r="AA34" s="282">
        <f t="shared" si="25"/>
        <v>1100000</v>
      </c>
      <c r="AB34" s="283">
        <f t="shared" si="16"/>
        <v>1</v>
      </c>
      <c r="AC34" s="4"/>
      <c r="AD34" s="4"/>
    </row>
    <row r="35" spans="1:30" x14ac:dyDescent="0.25">
      <c r="A35" s="4"/>
      <c r="B35" s="284" t="s">
        <v>32</v>
      </c>
      <c r="C35" s="299" t="s">
        <v>23</v>
      </c>
      <c r="D35" s="345">
        <f>+'[1]Vyhodnocení hospodaření PO'!P35</f>
        <v>18555941.293421376</v>
      </c>
      <c r="E35" s="341">
        <f>+'[1]Vyhodnocení hospodaření PO'!Q35</f>
        <v>0</v>
      </c>
      <c r="F35" s="341">
        <f>+'[1]Vyhodnocení hospodaření PO'!R35</f>
        <v>2651086.8065786245</v>
      </c>
      <c r="G35" s="342">
        <f t="shared" si="17"/>
        <v>21207028.100000001</v>
      </c>
      <c r="H35" s="342">
        <f>+'[1]Vyhodnocení hospodaření PO'!T35</f>
        <v>1251830.19</v>
      </c>
      <c r="I35" s="282">
        <f t="shared" si="18"/>
        <v>22458858.290000003</v>
      </c>
      <c r="J35" s="346">
        <f>+'[2]Vyhodnocení hosp. 1.pol. 2023'!J35</f>
        <v>19817618</v>
      </c>
      <c r="K35" s="341">
        <f>+'[2]Vyhodnocení hosp. 1.pol. 2023'!K35</f>
        <v>0</v>
      </c>
      <c r="L35" s="341">
        <f>+'[2]Vyhodnocení hosp. 1.pol. 2023'!L35</f>
        <v>2670000</v>
      </c>
      <c r="M35" s="342">
        <f t="shared" si="19"/>
        <v>22487618</v>
      </c>
      <c r="N35" s="342">
        <f>+'[2]Vyhodnocení hosp. 1.pol. 2023'!N35</f>
        <v>1150000</v>
      </c>
      <c r="O35" s="282">
        <f t="shared" si="20"/>
        <v>23637618</v>
      </c>
      <c r="P35" s="346">
        <f>+'[2]Vyhodnocení hosp. 1.pol. 2023'!P35</f>
        <v>10317882.585880863</v>
      </c>
      <c r="Q35" s="341">
        <f>+'[2]Vyhodnocení hosp. 1.pol. 2023'!Q35</f>
        <v>0</v>
      </c>
      <c r="R35" s="341">
        <f>+'[2]Vyhodnocení hosp. 1.pol. 2023'!R35</f>
        <v>1439021.434119137</v>
      </c>
      <c r="S35" s="342">
        <f t="shared" si="21"/>
        <v>11756904.02</v>
      </c>
      <c r="T35" s="342">
        <f>+'[2]Vyhodnocení hosp. 1.pol. 2023'!T35</f>
        <v>718034.92999999993</v>
      </c>
      <c r="U35" s="282">
        <f t="shared" si="22"/>
        <v>12474938.949999999</v>
      </c>
      <c r="V35" s="501">
        <f>+J35+648000</f>
        <v>20465618</v>
      </c>
      <c r="W35" s="341">
        <f t="shared" si="15"/>
        <v>0</v>
      </c>
      <c r="X35" s="341">
        <f t="shared" si="15"/>
        <v>2670000</v>
      </c>
      <c r="Y35" s="342">
        <f t="shared" si="23"/>
        <v>23135618</v>
      </c>
      <c r="Z35" s="342">
        <f t="shared" si="24"/>
        <v>1150000</v>
      </c>
      <c r="AA35" s="282">
        <f t="shared" si="25"/>
        <v>24285618</v>
      </c>
      <c r="AB35" s="283">
        <f t="shared" si="16"/>
        <v>1.0274139297792189</v>
      </c>
      <c r="AC35" s="4"/>
      <c r="AD35" s="4"/>
    </row>
    <row r="36" spans="1:30" x14ac:dyDescent="0.25">
      <c r="A36" s="4"/>
      <c r="B36" s="284" t="s">
        <v>33</v>
      </c>
      <c r="C36" s="299" t="s">
        <v>25</v>
      </c>
      <c r="D36" s="341">
        <f>+'[1]Vyhodnocení hospodaření PO'!P36</f>
        <v>104091.33405436974</v>
      </c>
      <c r="E36" s="341">
        <f>+'[1]Vyhodnocení hospodaření PO'!Q36</f>
        <v>0</v>
      </c>
      <c r="F36" s="341">
        <f>+'[1]Vyhodnocení hospodaření PO'!R36</f>
        <v>14871.525945630259</v>
      </c>
      <c r="G36" s="342">
        <f t="shared" si="17"/>
        <v>118962.86</v>
      </c>
      <c r="H36" s="342">
        <f>+'[1]Vyhodnocení hospodaření PO'!T36</f>
        <v>20404.010000000002</v>
      </c>
      <c r="I36" s="282">
        <f t="shared" si="18"/>
        <v>139366.87</v>
      </c>
      <c r="J36" s="343">
        <f>+'[2]Vyhodnocení hosp. 1.pol. 2023'!J36</f>
        <v>60000</v>
      </c>
      <c r="K36" s="341">
        <f>+'[2]Vyhodnocení hosp. 1.pol. 2023'!K36</f>
        <v>0</v>
      </c>
      <c r="L36" s="341">
        <f>+'[2]Vyhodnocení hosp. 1.pol. 2023'!L36</f>
        <v>10000</v>
      </c>
      <c r="M36" s="342">
        <f t="shared" si="19"/>
        <v>70000</v>
      </c>
      <c r="N36" s="342">
        <f>+'[2]Vyhodnocení hosp. 1.pol. 2023'!N36</f>
        <v>250000</v>
      </c>
      <c r="O36" s="282">
        <f t="shared" si="20"/>
        <v>320000</v>
      </c>
      <c r="P36" s="343">
        <f>+'[2]Vyhodnocení hosp. 1.pol. 2023'!P36</f>
        <v>49581.898246385688</v>
      </c>
      <c r="Q36" s="341">
        <f>+'[2]Vyhodnocení hosp. 1.pol. 2023'!Q36</f>
        <v>0</v>
      </c>
      <c r="R36" s="341">
        <f>+'[2]Vyhodnocení hosp. 1.pol. 2023'!R36</f>
        <v>6915.1217536143122</v>
      </c>
      <c r="S36" s="342">
        <f t="shared" si="21"/>
        <v>56497.020000000004</v>
      </c>
      <c r="T36" s="342">
        <f>+'[2]Vyhodnocení hosp. 1.pol. 2023'!T36</f>
        <v>3623.28</v>
      </c>
      <c r="U36" s="282">
        <f t="shared" si="22"/>
        <v>60120.3</v>
      </c>
      <c r="V36" s="501">
        <f t="shared" si="26"/>
        <v>60000</v>
      </c>
      <c r="W36" s="341">
        <f t="shared" si="15"/>
        <v>0</v>
      </c>
      <c r="X36" s="341">
        <f t="shared" si="15"/>
        <v>10000</v>
      </c>
      <c r="Y36" s="342">
        <f t="shared" si="23"/>
        <v>70000</v>
      </c>
      <c r="Z36" s="342">
        <f t="shared" si="24"/>
        <v>250000</v>
      </c>
      <c r="AA36" s="282">
        <f t="shared" si="25"/>
        <v>320000</v>
      </c>
      <c r="AB36" s="283">
        <f t="shared" si="16"/>
        <v>1</v>
      </c>
      <c r="AC36" s="4"/>
      <c r="AD36" s="4"/>
    </row>
    <row r="37" spans="1:30" x14ac:dyDescent="0.25">
      <c r="A37" s="4"/>
      <c r="B37" s="284" t="s">
        <v>34</v>
      </c>
      <c r="C37" s="299" t="s">
        <v>27</v>
      </c>
      <c r="D37" s="341">
        <f>+'[1]Vyhodnocení hospodaření PO'!P37</f>
        <v>12841822.09177958</v>
      </c>
      <c r="E37" s="341">
        <f>+'[1]Vyhodnocení hospodaření PO'!Q37</f>
        <v>0</v>
      </c>
      <c r="F37" s="341">
        <f>+'[1]Vyhodnocení hospodaření PO'!R37</f>
        <v>1834710.7582204214</v>
      </c>
      <c r="G37" s="342">
        <f t="shared" si="17"/>
        <v>14676532.850000001</v>
      </c>
      <c r="H37" s="342">
        <f>+'[1]Vyhodnocení hospodaření PO'!T37</f>
        <v>991593.15</v>
      </c>
      <c r="I37" s="282">
        <f t="shared" si="18"/>
        <v>15668126.000000002</v>
      </c>
      <c r="J37" s="343">
        <f>+'[2]Vyhodnocení hosp. 1.pol. 2023'!J37</f>
        <v>17516407</v>
      </c>
      <c r="K37" s="341">
        <f>+'[2]Vyhodnocení hosp. 1.pol. 2023'!K37</f>
        <v>0</v>
      </c>
      <c r="L37" s="341">
        <f>+'[2]Vyhodnocení hosp. 1.pol. 2023'!L37</f>
        <v>2250000</v>
      </c>
      <c r="M37" s="342">
        <f t="shared" si="19"/>
        <v>19766407</v>
      </c>
      <c r="N37" s="342">
        <f>+'[2]Vyhodnocení hosp. 1.pol. 2023'!N37</f>
        <v>1000000</v>
      </c>
      <c r="O37" s="282">
        <f t="shared" si="20"/>
        <v>20766407</v>
      </c>
      <c r="P37" s="343">
        <f>+'[2]Vyhodnocení hosp. 1.pol. 2023'!P37</f>
        <v>7772294.9638218619</v>
      </c>
      <c r="Q37" s="341">
        <f>+'[2]Vyhodnocení hosp. 1.pol. 2023'!Q37</f>
        <v>0</v>
      </c>
      <c r="R37" s="341">
        <f>+'[2]Vyhodnocení hosp. 1.pol. 2023'!R37</f>
        <v>1083991.6961781392</v>
      </c>
      <c r="S37" s="342">
        <f t="shared" si="21"/>
        <v>8856286.6600000001</v>
      </c>
      <c r="T37" s="342">
        <f>+'[2]Vyhodnocení hosp. 1.pol. 2023'!T37</f>
        <v>1125507.01</v>
      </c>
      <c r="U37" s="282">
        <f t="shared" si="22"/>
        <v>9981793.6699999999</v>
      </c>
      <c r="V37" s="501">
        <f t="shared" si="26"/>
        <v>17516407</v>
      </c>
      <c r="W37" s="341">
        <f t="shared" si="15"/>
        <v>0</v>
      </c>
      <c r="X37" s="341">
        <f t="shared" si="15"/>
        <v>2250000</v>
      </c>
      <c r="Y37" s="342">
        <f t="shared" si="23"/>
        <v>19766407</v>
      </c>
      <c r="Z37" s="342">
        <f t="shared" si="24"/>
        <v>1000000</v>
      </c>
      <c r="AA37" s="282">
        <f t="shared" si="25"/>
        <v>20766407</v>
      </c>
      <c r="AB37" s="283">
        <f t="shared" si="16"/>
        <v>1</v>
      </c>
      <c r="AC37" s="4"/>
      <c r="AD37" s="4"/>
    </row>
    <row r="38" spans="1:30" ht="15.75" thickBot="1" x14ac:dyDescent="0.3">
      <c r="A38" s="4"/>
      <c r="B38" s="502" t="s">
        <v>35</v>
      </c>
      <c r="C38" s="350" t="s">
        <v>29</v>
      </c>
      <c r="D38" s="351">
        <f>+'[1]Vyhodnocení hospodaření PO'!P38</f>
        <v>14996152.497748507</v>
      </c>
      <c r="E38" s="351">
        <f>+'[1]Vyhodnocení hospodaření PO'!Q38</f>
        <v>0</v>
      </c>
      <c r="F38" s="351">
        <f>+'[1]Vyhodnocení hospodaření PO'!R38</f>
        <v>2142499.8822515598</v>
      </c>
      <c r="G38" s="342">
        <f t="shared" si="17"/>
        <v>17138652.380000066</v>
      </c>
      <c r="H38" s="352">
        <f>+'[1]Vyhodnocení hospodaření PO'!T38</f>
        <v>620647.82999999996</v>
      </c>
      <c r="I38" s="308">
        <f t="shared" si="18"/>
        <v>17759300.210000064</v>
      </c>
      <c r="J38" s="353">
        <f>+'[2]Vyhodnocení hosp. 1.pol. 2023'!J38</f>
        <v>6200000</v>
      </c>
      <c r="K38" s="351">
        <f>+'[2]Vyhodnocení hosp. 1.pol. 2023'!K38</f>
        <v>0</v>
      </c>
      <c r="L38" s="351">
        <f>+'[2]Vyhodnocení hosp. 1.pol. 2023'!L38</f>
        <v>1100000</v>
      </c>
      <c r="M38" s="352">
        <f t="shared" si="19"/>
        <v>7300000</v>
      </c>
      <c r="N38" s="352">
        <f>+'[2]Vyhodnocení hosp. 1.pol. 2023'!N38</f>
        <v>2283000</v>
      </c>
      <c r="O38" s="308">
        <f t="shared" si="20"/>
        <v>9583000</v>
      </c>
      <c r="P38" s="353">
        <f>+'[2]Vyhodnocení hosp. 1.pol. 2023'!P38</f>
        <v>8518374.4192111194</v>
      </c>
      <c r="Q38" s="351">
        <f>+'[2]Vyhodnocení hosp. 1.pol. 2023'!Q38</f>
        <v>0</v>
      </c>
      <c r="R38" s="351">
        <f>+'[2]Vyhodnocení hosp. 1.pol. 2023'!R38</f>
        <v>1188046.4107888904</v>
      </c>
      <c r="S38" s="352">
        <f t="shared" si="21"/>
        <v>9706420.8300000094</v>
      </c>
      <c r="T38" s="352">
        <f>+'[2]Vyhodnocení hosp. 1.pol. 2023'!T38</f>
        <v>1272546.56</v>
      </c>
      <c r="U38" s="308">
        <f t="shared" si="22"/>
        <v>10978967.39000001</v>
      </c>
      <c r="V38" s="503">
        <f t="shared" si="26"/>
        <v>6200000</v>
      </c>
      <c r="W38" s="351">
        <f t="shared" si="15"/>
        <v>0</v>
      </c>
      <c r="X38" s="351">
        <f t="shared" si="15"/>
        <v>1100000</v>
      </c>
      <c r="Y38" s="352">
        <f t="shared" si="23"/>
        <v>7300000</v>
      </c>
      <c r="Z38" s="352">
        <f t="shared" si="24"/>
        <v>2283000</v>
      </c>
      <c r="AA38" s="308">
        <f t="shared" si="25"/>
        <v>9583000</v>
      </c>
      <c r="AB38" s="309">
        <f t="shared" si="16"/>
        <v>1</v>
      </c>
      <c r="AC38" s="4"/>
      <c r="AD38" s="4"/>
    </row>
    <row r="39" spans="1:30" ht="15.75" thickBot="1" x14ac:dyDescent="0.3">
      <c r="A39" s="4"/>
      <c r="B39" s="310" t="s">
        <v>48</v>
      </c>
      <c r="C39" s="354" t="s">
        <v>31</v>
      </c>
      <c r="D39" s="355">
        <f>SUM(D35:D38)+SUM(D28:D32)</f>
        <v>163552207.5269087</v>
      </c>
      <c r="E39" s="355">
        <f>SUM(E35:E38)+SUM(E28:E32)</f>
        <v>0</v>
      </c>
      <c r="F39" s="355">
        <f>SUM(F35:F38)+SUM(F28:F32)</f>
        <v>23366699.25309138</v>
      </c>
      <c r="G39" s="356">
        <f>SUM(D39:F39)</f>
        <v>186918906.78000009</v>
      </c>
      <c r="H39" s="357">
        <f>SUM(H28:H32)+SUM(H35:H38)</f>
        <v>13501196.5</v>
      </c>
      <c r="I39" s="358">
        <f>SUM(I35:I38)+SUM(I28:I32)</f>
        <v>200420103.28000006</v>
      </c>
      <c r="J39" s="355">
        <f>SUM(J35:J38)+SUM(J28:J32)</f>
        <v>172113600</v>
      </c>
      <c r="K39" s="355">
        <f>SUM(K35:K38)+SUM(K28:K32)</f>
        <v>0</v>
      </c>
      <c r="L39" s="355">
        <f>SUM(L35:L38)+SUM(L28:L32)</f>
        <v>23280000</v>
      </c>
      <c r="M39" s="356">
        <f>SUM(J39:L39)</f>
        <v>195393600</v>
      </c>
      <c r="N39" s="357">
        <f>SUM(N28:N32)+SUM(N35:N38)</f>
        <v>14383000</v>
      </c>
      <c r="O39" s="358">
        <f>SUM(O35:O38)+SUM(O28:O32)</f>
        <v>209776600</v>
      </c>
      <c r="P39" s="355">
        <f>SUM(P35:P38)+SUM(P28:P32)</f>
        <v>87987726.85909979</v>
      </c>
      <c r="Q39" s="355">
        <f>SUM(Q35:Q38)+SUM(Q28:Q32)</f>
        <v>0</v>
      </c>
      <c r="R39" s="355">
        <f>SUM(R35:R38)+SUM(R28:R32)</f>
        <v>12271531.860900233</v>
      </c>
      <c r="S39" s="356">
        <f>SUM(P39:R39)</f>
        <v>100259258.72000003</v>
      </c>
      <c r="T39" s="357">
        <f>SUM(T28:T32)+SUM(T35:T38)</f>
        <v>8954029.4600000009</v>
      </c>
      <c r="U39" s="358">
        <f>SUM(U35:U38)+SUM(U28:U32)</f>
        <v>109213288.18000001</v>
      </c>
      <c r="V39" s="355">
        <f>SUM(V35:V38)+SUM(V28:V32)</f>
        <v>174913600</v>
      </c>
      <c r="W39" s="355">
        <f>SUM(W35:W38)+SUM(W28:W32)</f>
        <v>0</v>
      </c>
      <c r="X39" s="355">
        <f>SUM(X35:X38)+SUM(X28:X32)</f>
        <v>23280000</v>
      </c>
      <c r="Y39" s="356">
        <f>SUM(V39:X39)</f>
        <v>198193600</v>
      </c>
      <c r="Z39" s="357">
        <f>SUM(Z28:Z32)+SUM(Z35:Z38)</f>
        <v>14383000</v>
      </c>
      <c r="AA39" s="358">
        <f>SUM(AA35:AA38)+SUM(AA28:AA32)</f>
        <v>212576600</v>
      </c>
      <c r="AB39" s="359">
        <f t="shared" si="16"/>
        <v>1.0133475325655961</v>
      </c>
      <c r="AC39" s="4"/>
      <c r="AD39" s="4"/>
    </row>
    <row r="40" spans="1:30" ht="19.5" thickBot="1" x14ac:dyDescent="0.35">
      <c r="A40" s="4"/>
      <c r="B40" s="360" t="s">
        <v>49</v>
      </c>
      <c r="C40" s="361" t="s">
        <v>51</v>
      </c>
      <c r="D40" s="362">
        <f t="shared" ref="D40:AA40" si="27">D24-D39</f>
        <v>-5363143.5269086957</v>
      </c>
      <c r="E40" s="362">
        <f t="shared" si="27"/>
        <v>0</v>
      </c>
      <c r="F40" s="362">
        <f t="shared" si="27"/>
        <v>4315248.3569086231</v>
      </c>
      <c r="G40" s="363">
        <f t="shared" si="27"/>
        <v>-1047895.1700000763</v>
      </c>
      <c r="H40" s="363">
        <f t="shared" si="27"/>
        <v>5274575.4499999993</v>
      </c>
      <c r="I40" s="364">
        <f t="shared" si="27"/>
        <v>4226680.2799999416</v>
      </c>
      <c r="J40" s="362">
        <f t="shared" si="27"/>
        <v>-3097000</v>
      </c>
      <c r="K40" s="362">
        <f t="shared" si="27"/>
        <v>0</v>
      </c>
      <c r="L40" s="362">
        <f t="shared" si="27"/>
        <v>380000</v>
      </c>
      <c r="M40" s="363">
        <f t="shared" si="27"/>
        <v>-2717000</v>
      </c>
      <c r="N40" s="363">
        <f t="shared" si="27"/>
        <v>2717000</v>
      </c>
      <c r="O40" s="364">
        <f t="shared" si="27"/>
        <v>0</v>
      </c>
      <c r="P40" s="362">
        <f t="shared" si="27"/>
        <v>-3479426.8590997905</v>
      </c>
      <c r="Q40" s="362">
        <f t="shared" si="27"/>
        <v>0</v>
      </c>
      <c r="R40" s="362">
        <f t="shared" si="27"/>
        <v>1965625.449099768</v>
      </c>
      <c r="S40" s="363">
        <f t="shared" si="27"/>
        <v>-1513801.4100000262</v>
      </c>
      <c r="T40" s="363">
        <f t="shared" si="27"/>
        <v>2172870.4799999986</v>
      </c>
      <c r="U40" s="364">
        <f t="shared" si="27"/>
        <v>659069.06999999285</v>
      </c>
      <c r="V40" s="362">
        <f t="shared" si="27"/>
        <v>-3097000</v>
      </c>
      <c r="W40" s="362">
        <f t="shared" si="27"/>
        <v>0</v>
      </c>
      <c r="X40" s="362">
        <f t="shared" si="27"/>
        <v>380000</v>
      </c>
      <c r="Y40" s="363">
        <f t="shared" si="27"/>
        <v>-2717000</v>
      </c>
      <c r="Z40" s="363">
        <f t="shared" si="27"/>
        <v>2717000</v>
      </c>
      <c r="AA40" s="364">
        <f t="shared" si="27"/>
        <v>0</v>
      </c>
      <c r="AB40" s="365"/>
      <c r="AC40" s="4"/>
      <c r="AD40" s="4"/>
    </row>
    <row r="41" spans="1:30" ht="15.75" thickBot="1" x14ac:dyDescent="0.3">
      <c r="A41" s="4"/>
      <c r="B41" s="366" t="s">
        <v>50</v>
      </c>
      <c r="C41" s="367" t="s">
        <v>65</v>
      </c>
      <c r="D41" s="368"/>
      <c r="E41" s="369"/>
      <c r="F41" s="369"/>
      <c r="G41" s="370"/>
      <c r="H41" s="371"/>
      <c r="I41" s="372">
        <f>I40-D16</f>
        <v>-153942383.72000006</v>
      </c>
      <c r="J41" s="368"/>
      <c r="K41" s="369"/>
      <c r="L41" s="369"/>
      <c r="M41" s="370"/>
      <c r="N41" s="373"/>
      <c r="O41" s="372">
        <f>O40-J16</f>
        <v>-169016600</v>
      </c>
      <c r="P41" s="368"/>
      <c r="Q41" s="369"/>
      <c r="R41" s="369"/>
      <c r="S41" s="370"/>
      <c r="T41" s="373"/>
      <c r="U41" s="372">
        <f>U40-P16</f>
        <v>-83849230.930000007</v>
      </c>
      <c r="V41" s="368"/>
      <c r="W41" s="369"/>
      <c r="X41" s="369"/>
      <c r="Y41" s="370"/>
      <c r="Z41" s="373"/>
      <c r="AA41" s="372">
        <f>AA40-V16</f>
        <v>-171816600</v>
      </c>
      <c r="AB41" s="283">
        <f t="shared" si="16"/>
        <v>1.0165664201031142</v>
      </c>
      <c r="AC41" s="4"/>
      <c r="AD41" s="4"/>
    </row>
    <row r="42" spans="1:30" ht="8.25" customHeight="1" thickBot="1" x14ac:dyDescent="0.3">
      <c r="A42" s="4"/>
      <c r="B42" s="374"/>
      <c r="C42" s="375"/>
      <c r="D42" s="376"/>
      <c r="E42" s="377"/>
      <c r="F42" s="377"/>
      <c r="G42" s="4"/>
      <c r="H42" s="377"/>
      <c r="I42" s="377"/>
      <c r="J42" s="376"/>
      <c r="K42" s="377"/>
      <c r="L42" s="377"/>
      <c r="M42" s="4"/>
      <c r="N42" s="377"/>
      <c r="O42" s="377"/>
      <c r="P42" s="377"/>
      <c r="Q42" s="377"/>
      <c r="R42" s="377"/>
      <c r="S42" s="377"/>
      <c r="T42" s="377"/>
      <c r="U42" s="377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thickBot="1" x14ac:dyDescent="0.3">
      <c r="A43" s="4"/>
      <c r="B43" s="374"/>
      <c r="C43" s="378" t="s">
        <v>82</v>
      </c>
      <c r="D43" s="106" t="s">
        <v>41</v>
      </c>
      <c r="E43" s="379" t="s">
        <v>83</v>
      </c>
      <c r="F43" s="380" t="s">
        <v>36</v>
      </c>
      <c r="G43" s="377"/>
      <c r="H43" s="377"/>
      <c r="I43" s="381"/>
      <c r="J43" s="106" t="s">
        <v>41</v>
      </c>
      <c r="K43" s="379" t="s">
        <v>83</v>
      </c>
      <c r="L43" s="380" t="s">
        <v>36</v>
      </c>
      <c r="M43" s="377"/>
      <c r="N43" s="377"/>
      <c r="O43" s="377"/>
      <c r="P43" s="106" t="s">
        <v>41</v>
      </c>
      <c r="Q43" s="379" t="s">
        <v>83</v>
      </c>
      <c r="R43" s="380" t="s">
        <v>36</v>
      </c>
      <c r="S43" s="4"/>
      <c r="T43" s="4"/>
      <c r="U43" s="4"/>
      <c r="V43" s="106" t="s">
        <v>41</v>
      </c>
      <c r="W43" s="379" t="s">
        <v>83</v>
      </c>
      <c r="X43" s="380" t="s">
        <v>36</v>
      </c>
      <c r="Y43" s="4"/>
      <c r="Z43" s="4"/>
      <c r="AA43" s="4"/>
      <c r="AB43" s="4"/>
      <c r="AC43" s="4"/>
      <c r="AD43" s="4"/>
    </row>
    <row r="44" spans="1:30" ht="15.75" thickBot="1" x14ac:dyDescent="0.3">
      <c r="A44" s="4"/>
      <c r="B44" s="374"/>
      <c r="C44" s="382"/>
      <c r="D44" s="383">
        <v>0</v>
      </c>
      <c r="E44" s="384">
        <v>0</v>
      </c>
      <c r="F44" s="385">
        <v>0</v>
      </c>
      <c r="G44" s="377"/>
      <c r="H44" s="377"/>
      <c r="I44" s="381"/>
      <c r="J44" s="383">
        <v>0</v>
      </c>
      <c r="K44" s="384">
        <v>0</v>
      </c>
      <c r="L44" s="385">
        <v>0</v>
      </c>
      <c r="M44" s="386"/>
      <c r="N44" s="386"/>
      <c r="O44" s="386"/>
      <c r="P44" s="383">
        <v>0</v>
      </c>
      <c r="Q44" s="384">
        <v>0</v>
      </c>
      <c r="R44" s="385">
        <v>0</v>
      </c>
      <c r="S44" s="4"/>
      <c r="T44" s="4"/>
      <c r="U44" s="4"/>
      <c r="V44" s="383">
        <v>0</v>
      </c>
      <c r="W44" s="384">
        <v>0</v>
      </c>
      <c r="X44" s="385">
        <v>0</v>
      </c>
      <c r="Y44" s="4"/>
      <c r="Z44" s="4"/>
      <c r="AA44" s="4"/>
      <c r="AB44" s="4"/>
      <c r="AC44" s="4"/>
      <c r="AD44" s="4"/>
    </row>
    <row r="45" spans="1:30" ht="8.25" customHeight="1" thickBot="1" x14ac:dyDescent="0.3">
      <c r="A45" s="4"/>
      <c r="B45" s="374"/>
      <c r="C45" s="375"/>
      <c r="D45" s="386"/>
      <c r="E45" s="377"/>
      <c r="F45" s="377"/>
      <c r="G45" s="377"/>
      <c r="H45" s="377"/>
      <c r="I45" s="381"/>
      <c r="J45" s="377"/>
      <c r="K45" s="377"/>
      <c r="L45" s="377"/>
      <c r="M45" s="377"/>
      <c r="N45" s="377"/>
      <c r="O45" s="381"/>
      <c r="P45" s="381"/>
      <c r="Q45" s="381"/>
      <c r="R45" s="381"/>
      <c r="S45" s="381"/>
      <c r="T45" s="381"/>
      <c r="U45" s="381"/>
      <c r="V45" s="4"/>
      <c r="W45" s="4"/>
      <c r="X45" s="4"/>
      <c r="Y45" s="4"/>
      <c r="Z45" s="4"/>
      <c r="AA45" s="4"/>
      <c r="AB45" s="4"/>
      <c r="AC45" s="4"/>
      <c r="AD45" s="4"/>
    </row>
    <row r="46" spans="1:30" ht="37.5" customHeight="1" thickBot="1" x14ac:dyDescent="0.3">
      <c r="A46" s="4"/>
      <c r="B46" s="374"/>
      <c r="C46" s="378" t="s">
        <v>85</v>
      </c>
      <c r="D46" s="95" t="s">
        <v>86</v>
      </c>
      <c r="E46" s="387" t="s">
        <v>84</v>
      </c>
      <c r="F46" s="377"/>
      <c r="G46" s="377"/>
      <c r="H46" s="377"/>
      <c r="I46" s="381"/>
      <c r="J46" s="95" t="s">
        <v>86</v>
      </c>
      <c r="K46" s="387" t="s">
        <v>84</v>
      </c>
      <c r="L46" s="388"/>
      <c r="M46" s="388"/>
      <c r="N46" s="4"/>
      <c r="O46" s="4"/>
      <c r="P46" s="95" t="s">
        <v>86</v>
      </c>
      <c r="Q46" s="387" t="s">
        <v>84</v>
      </c>
      <c r="R46" s="4"/>
      <c r="S46" s="4"/>
      <c r="T46" s="4"/>
      <c r="U46" s="4"/>
      <c r="V46" s="95" t="s">
        <v>86</v>
      </c>
      <c r="W46" s="387" t="s">
        <v>84</v>
      </c>
      <c r="X46" s="4"/>
      <c r="Y46" s="4"/>
      <c r="Z46" s="4"/>
      <c r="AA46" s="4"/>
      <c r="AB46" s="4"/>
      <c r="AC46" s="4"/>
      <c r="AD46" s="4"/>
    </row>
    <row r="47" spans="1:30" ht="15.75" thickBot="1" x14ac:dyDescent="0.3">
      <c r="A47" s="4"/>
      <c r="B47" s="389"/>
      <c r="C47" s="390"/>
      <c r="D47" s="383">
        <v>0</v>
      </c>
      <c r="E47" s="391">
        <v>0</v>
      </c>
      <c r="F47" s="377"/>
      <c r="G47" s="377"/>
      <c r="H47" s="377"/>
      <c r="I47" s="381"/>
      <c r="J47" s="383">
        <v>0</v>
      </c>
      <c r="K47" s="391">
        <v>0</v>
      </c>
      <c r="L47" s="392"/>
      <c r="M47" s="392"/>
      <c r="N47" s="4"/>
      <c r="O47" s="4"/>
      <c r="P47" s="383">
        <v>0</v>
      </c>
      <c r="Q47" s="391">
        <v>0</v>
      </c>
      <c r="R47" s="4"/>
      <c r="S47" s="4"/>
      <c r="T47" s="4"/>
      <c r="U47" s="4"/>
      <c r="V47" s="383">
        <v>15600000</v>
      </c>
      <c r="W47" s="391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4"/>
      <c r="B48" s="389"/>
      <c r="C48" s="375"/>
      <c r="D48" s="377"/>
      <c r="E48" s="377"/>
      <c r="F48" s="377"/>
      <c r="G48" s="377"/>
      <c r="H48" s="377"/>
      <c r="I48" s="381"/>
      <c r="J48" s="377"/>
      <c r="K48" s="377"/>
      <c r="L48" s="377"/>
      <c r="M48" s="377"/>
      <c r="N48" s="377"/>
      <c r="O48" s="381"/>
      <c r="P48" s="381"/>
      <c r="Q48" s="381"/>
      <c r="R48" s="381"/>
      <c r="S48" s="381"/>
      <c r="T48" s="381"/>
      <c r="U48" s="381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4"/>
      <c r="B49" s="389"/>
      <c r="C49" s="393" t="s">
        <v>81</v>
      </c>
      <c r="D49" s="394" t="s">
        <v>72</v>
      </c>
      <c r="E49" s="394" t="s">
        <v>73</v>
      </c>
      <c r="F49" s="394" t="s">
        <v>91</v>
      </c>
      <c r="G49" s="394" t="s">
        <v>93</v>
      </c>
      <c r="H49" s="377"/>
      <c r="I49" s="4"/>
      <c r="J49" s="394" t="s">
        <v>72</v>
      </c>
      <c r="K49" s="394" t="s">
        <v>73</v>
      </c>
      <c r="L49" s="394" t="s">
        <v>91</v>
      </c>
      <c r="M49" s="394" t="s">
        <v>94</v>
      </c>
      <c r="N49" s="4"/>
      <c r="O49" s="4"/>
      <c r="P49" s="394" t="s">
        <v>72</v>
      </c>
      <c r="Q49" s="394" t="s">
        <v>73</v>
      </c>
      <c r="R49" s="394" t="s">
        <v>91</v>
      </c>
      <c r="S49" s="394" t="s">
        <v>163</v>
      </c>
      <c r="T49" s="4"/>
      <c r="U49" s="4"/>
      <c r="V49" s="394" t="s">
        <v>95</v>
      </c>
      <c r="W49" s="394" t="s">
        <v>73</v>
      </c>
      <c r="X49" s="394" t="s">
        <v>91</v>
      </c>
      <c r="Y49" s="394" t="s">
        <v>94</v>
      </c>
      <c r="Z49" s="4"/>
      <c r="AA49" s="4"/>
      <c r="AB49" s="4"/>
      <c r="AC49" s="4"/>
      <c r="AD49" s="4"/>
    </row>
    <row r="50" spans="1:30" x14ac:dyDescent="0.25">
      <c r="A50" s="4"/>
      <c r="B50" s="389"/>
      <c r="C50" s="395" t="s">
        <v>117</v>
      </c>
      <c r="D50" s="396">
        <f>SUM(D51:D54)</f>
        <v>8048932.7999999998</v>
      </c>
      <c r="E50" s="396">
        <f t="shared" ref="E50:F50" si="28">SUM(E51:E54)</f>
        <v>29926905</v>
      </c>
      <c r="F50" s="396">
        <f t="shared" si="28"/>
        <v>31997805.870000001</v>
      </c>
      <c r="G50" s="397">
        <f>D50+E50-F50</f>
        <v>5978031.929999996</v>
      </c>
      <c r="H50" s="377"/>
      <c r="I50" s="4"/>
      <c r="J50" s="396">
        <f>SUM(J51:J54)</f>
        <v>5900476.3100000005</v>
      </c>
      <c r="K50" s="396">
        <f t="shared" ref="K50:L50" si="29">SUM(K51:K54)</f>
        <v>22174613.960000001</v>
      </c>
      <c r="L50" s="396">
        <f t="shared" si="29"/>
        <v>22286270</v>
      </c>
      <c r="M50" s="397">
        <f>J50+K50-L50</f>
        <v>5788820.2700000033</v>
      </c>
      <c r="N50" s="4"/>
      <c r="O50" s="4"/>
      <c r="P50" s="396">
        <f t="shared" ref="P50:R50" si="30">SUM(P51:P54)</f>
        <v>5978031.9299999988</v>
      </c>
      <c r="Q50" s="396">
        <f t="shared" si="30"/>
        <v>14670000</v>
      </c>
      <c r="R50" s="396">
        <f t="shared" si="30"/>
        <v>16028000</v>
      </c>
      <c r="S50" s="397">
        <f>P50+Q50-R50</f>
        <v>4620031.93</v>
      </c>
      <c r="T50" s="4"/>
      <c r="U50" s="4"/>
      <c r="V50" s="396">
        <f>SUM(V51:V54)</f>
        <v>6727710.7999999998</v>
      </c>
      <c r="W50" s="396">
        <f t="shared" ref="W50:X50" si="31">SUM(W51:W54)</f>
        <v>38196380.960000001</v>
      </c>
      <c r="X50" s="396">
        <f t="shared" si="31"/>
        <v>40291757</v>
      </c>
      <c r="Y50" s="397">
        <f>V50+W50-X50</f>
        <v>4632334.7599999979</v>
      </c>
      <c r="Z50" s="4"/>
      <c r="AA50" s="4"/>
      <c r="AB50" s="4"/>
      <c r="AC50" s="4"/>
      <c r="AD50" s="4"/>
    </row>
    <row r="51" spans="1:30" x14ac:dyDescent="0.25">
      <c r="A51" s="4"/>
      <c r="B51" s="389"/>
      <c r="C51" s="395" t="s">
        <v>70</v>
      </c>
      <c r="D51" s="396">
        <v>198936.8</v>
      </c>
      <c r="E51" s="396">
        <v>0</v>
      </c>
      <c r="F51" s="396">
        <v>0</v>
      </c>
      <c r="G51" s="397">
        <f t="shared" ref="G51:G54" si="32">D51+E51-F51</f>
        <v>198936.8</v>
      </c>
      <c r="H51" s="377"/>
      <c r="I51" s="4"/>
      <c r="J51" s="396">
        <f>+'[3]NR 2023'!V51</f>
        <v>198936.75</v>
      </c>
      <c r="K51" s="396">
        <f>+'[3]NR 2023'!W51</f>
        <v>0</v>
      </c>
      <c r="L51" s="396">
        <f>+'[3]NR 2023'!X51</f>
        <v>0</v>
      </c>
      <c r="M51" s="396">
        <f>+'[3]NR 2023'!Y51</f>
        <v>198936.75</v>
      </c>
      <c r="N51" s="4"/>
      <c r="O51" s="4"/>
      <c r="P51" s="396">
        <f>+G51</f>
        <v>198936.8</v>
      </c>
      <c r="Q51" s="396">
        <f>+'[2]Vyhodnocení hosp. 1.pol. 2023'!E51*1000</f>
        <v>4000000</v>
      </c>
      <c r="R51" s="396">
        <f>+'[2]Vyhodnocení hosp. 1.pol. 2023'!F51*1000</f>
        <v>0</v>
      </c>
      <c r="S51" s="397">
        <f t="shared" ref="S51:S54" si="33">+P51+Q51-R51</f>
        <v>4198936.8</v>
      </c>
      <c r="T51" s="4"/>
      <c r="U51" s="4"/>
      <c r="V51" s="396">
        <f>+S51</f>
        <v>4198936.8</v>
      </c>
      <c r="W51" s="396">
        <v>0</v>
      </c>
      <c r="X51" s="396">
        <v>0</v>
      </c>
      <c r="Y51" s="397">
        <f t="shared" ref="Y51:Y54" si="34">V51+W51-X51</f>
        <v>4198936.8</v>
      </c>
      <c r="Z51" s="4"/>
      <c r="AA51" s="4"/>
      <c r="AB51" s="4"/>
      <c r="AC51" s="4"/>
      <c r="AD51" s="4"/>
    </row>
    <row r="52" spans="1:30" x14ac:dyDescent="0.25">
      <c r="A52" s="4"/>
      <c r="B52" s="389"/>
      <c r="C52" s="395" t="s">
        <v>71</v>
      </c>
      <c r="D52" s="396">
        <v>7727582</v>
      </c>
      <c r="E52" s="396">
        <v>28684918</v>
      </c>
      <c r="F52" s="396">
        <v>30858465.870000001</v>
      </c>
      <c r="G52" s="397">
        <f t="shared" si="32"/>
        <v>5554034.129999999</v>
      </c>
      <c r="H52" s="377"/>
      <c r="I52" s="4"/>
      <c r="J52" s="396">
        <f>+'[3]NR 2023'!V52</f>
        <v>5511407</v>
      </c>
      <c r="K52" s="396">
        <f>+'[3]NR 2023'!W52</f>
        <v>20766407</v>
      </c>
      <c r="L52" s="396">
        <f>+'[3]NR 2023'!X52</f>
        <v>20886270</v>
      </c>
      <c r="M52" s="396">
        <f>+'[3]NR 2023'!Y52</f>
        <v>5391544</v>
      </c>
      <c r="N52" s="4"/>
      <c r="O52" s="4"/>
      <c r="P52" s="396">
        <f>+G52</f>
        <v>5554034.129999999</v>
      </c>
      <c r="Q52" s="396">
        <f>+'[2]Vyhodnocení hosp. 1.pol. 2023'!E52*1000</f>
        <v>9982000</v>
      </c>
      <c r="R52" s="396">
        <f>+'[2]Vyhodnocení hosp. 1.pol. 2023'!F52*1000</f>
        <v>15380000</v>
      </c>
      <c r="S52" s="397">
        <f t="shared" si="33"/>
        <v>156034.12999999896</v>
      </c>
      <c r="T52" s="4"/>
      <c r="U52" s="4"/>
      <c r="V52" s="396">
        <v>2328774</v>
      </c>
      <c r="W52" s="396">
        <f>21174174+15600000</f>
        <v>36774174</v>
      </c>
      <c r="X52" s="396">
        <f>96346+38795411</f>
        <v>38891757</v>
      </c>
      <c r="Y52" s="397">
        <f>V52+W52-X52</f>
        <v>211191</v>
      </c>
      <c r="Z52" s="4"/>
      <c r="AA52" s="4"/>
      <c r="AB52" s="4"/>
      <c r="AC52" s="4"/>
      <c r="AD52" s="4"/>
    </row>
    <row r="53" spans="1:30" x14ac:dyDescent="0.25">
      <c r="A53" s="4"/>
      <c r="B53" s="389"/>
      <c r="C53" s="395" t="s">
        <v>88</v>
      </c>
      <c r="D53" s="396">
        <v>0</v>
      </c>
      <c r="E53" s="396">
        <v>0</v>
      </c>
      <c r="F53" s="396">
        <v>0</v>
      </c>
      <c r="G53" s="397">
        <f t="shared" si="32"/>
        <v>0</v>
      </c>
      <c r="H53" s="377"/>
      <c r="I53" s="4"/>
      <c r="J53" s="396">
        <f>+'[3]NR 2023'!V53</f>
        <v>0</v>
      </c>
      <c r="K53" s="396">
        <f>+'[3]NR 2023'!W53</f>
        <v>0</v>
      </c>
      <c r="L53" s="396">
        <f>+'[3]NR 2023'!X53</f>
        <v>0</v>
      </c>
      <c r="M53" s="396">
        <f>+'[3]NR 2023'!Y53</f>
        <v>0</v>
      </c>
      <c r="N53" s="4"/>
      <c r="O53" s="4"/>
      <c r="P53" s="396">
        <f>+G53</f>
        <v>0</v>
      </c>
      <c r="Q53" s="396">
        <f>+'[2]Vyhodnocení hosp. 1.pol. 2023'!E53*1000</f>
        <v>0</v>
      </c>
      <c r="R53" s="396">
        <f>+'[2]Vyhodnocení hosp. 1.pol. 2023'!F53*1000</f>
        <v>0</v>
      </c>
      <c r="S53" s="397">
        <f t="shared" si="33"/>
        <v>0</v>
      </c>
      <c r="T53" s="4"/>
      <c r="U53" s="4"/>
      <c r="V53" s="396">
        <f>+M53</f>
        <v>0</v>
      </c>
      <c r="W53" s="396">
        <v>0</v>
      </c>
      <c r="X53" s="396">
        <v>0</v>
      </c>
      <c r="Y53" s="397">
        <f t="shared" si="34"/>
        <v>0</v>
      </c>
      <c r="Z53" s="4"/>
      <c r="AA53" s="4"/>
      <c r="AB53" s="4"/>
      <c r="AC53" s="4"/>
      <c r="AD53" s="4"/>
    </row>
    <row r="54" spans="1:30" x14ac:dyDescent="0.25">
      <c r="A54" s="4"/>
      <c r="B54" s="389"/>
      <c r="C54" s="398" t="s">
        <v>89</v>
      </c>
      <c r="D54" s="396">
        <v>122414</v>
      </c>
      <c r="E54" s="396">
        <v>1241987</v>
      </c>
      <c r="F54" s="396">
        <v>1139340</v>
      </c>
      <c r="G54" s="397">
        <f t="shared" si="32"/>
        <v>225061</v>
      </c>
      <c r="H54" s="377"/>
      <c r="I54" s="4"/>
      <c r="J54" s="396">
        <f>+'[3]NR 2023'!V54</f>
        <v>190132.56000000006</v>
      </c>
      <c r="K54" s="396">
        <f>+'[3]NR 2023'!W54</f>
        <v>1408206.96</v>
      </c>
      <c r="L54" s="396">
        <f>+'[3]NR 2023'!X54</f>
        <v>1400000</v>
      </c>
      <c r="M54" s="396">
        <f>+'[3]NR 2023'!Y54</f>
        <v>198339.52000000002</v>
      </c>
      <c r="N54" s="4"/>
      <c r="O54" s="4"/>
      <c r="P54" s="396">
        <v>225061</v>
      </c>
      <c r="Q54" s="396">
        <f>+'[2]Vyhodnocení hosp. 1.pol. 2023'!E54*1000</f>
        <v>688000</v>
      </c>
      <c r="R54" s="396">
        <f>+'[2]Vyhodnocení hosp. 1.pol. 2023'!F54*1000</f>
        <v>648000</v>
      </c>
      <c r="S54" s="397">
        <f t="shared" si="33"/>
        <v>265061</v>
      </c>
      <c r="T54" s="4"/>
      <c r="U54" s="4"/>
      <c r="V54" s="396">
        <v>200000</v>
      </c>
      <c r="W54" s="396">
        <f>0.02*AA33</f>
        <v>1422206.96</v>
      </c>
      <c r="X54" s="396">
        <v>1400000</v>
      </c>
      <c r="Y54" s="397">
        <f t="shared" si="34"/>
        <v>222206.95999999996</v>
      </c>
      <c r="Z54" s="4"/>
      <c r="AA54" s="4"/>
      <c r="AB54" s="4"/>
      <c r="AC54" s="4"/>
      <c r="AD54" s="4"/>
    </row>
    <row r="55" spans="1:30" ht="10.5" customHeight="1" x14ac:dyDescent="0.25">
      <c r="A55" s="4"/>
      <c r="B55" s="389"/>
      <c r="C55" s="375"/>
      <c r="D55" s="377"/>
      <c r="E55" s="377"/>
      <c r="F55" s="377"/>
      <c r="G55" s="377"/>
      <c r="H55" s="37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4"/>
      <c r="B56" s="389"/>
      <c r="C56" s="393" t="s">
        <v>74</v>
      </c>
      <c r="D56" s="394" t="s">
        <v>75</v>
      </c>
      <c r="E56" s="394" t="s">
        <v>96</v>
      </c>
      <c r="F56" s="377"/>
      <c r="G56" s="377"/>
      <c r="H56" s="377"/>
      <c r="I56" s="381"/>
      <c r="J56" s="394" t="s">
        <v>97</v>
      </c>
      <c r="K56" s="377"/>
      <c r="L56" s="377"/>
      <c r="M56" s="377"/>
      <c r="N56" s="377"/>
      <c r="O56" s="381"/>
      <c r="P56" s="394" t="s">
        <v>98</v>
      </c>
      <c r="Q56" s="381"/>
      <c r="R56" s="381"/>
      <c r="S56" s="381"/>
      <c r="T56" s="381"/>
      <c r="U56" s="381"/>
      <c r="V56" s="394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4"/>
      <c r="B57" s="389"/>
      <c r="C57" s="395"/>
      <c r="D57" s="399">
        <v>176</v>
      </c>
      <c r="E57" s="399">
        <v>179</v>
      </c>
      <c r="F57" s="377"/>
      <c r="G57" s="377"/>
      <c r="H57" s="377"/>
      <c r="I57" s="381"/>
      <c r="J57" s="399">
        <f>+'[3]NR 2023'!$V$57</f>
        <v>185</v>
      </c>
      <c r="K57" s="377"/>
      <c r="L57" s="377"/>
      <c r="M57" s="377"/>
      <c r="N57" s="377"/>
      <c r="O57" s="381"/>
      <c r="P57" s="399">
        <f>+'[2]Vyhodnocení hosp. 1.pol. 2023'!$E$57</f>
        <v>188</v>
      </c>
      <c r="Q57" s="381"/>
      <c r="R57" s="381"/>
      <c r="S57" s="381"/>
      <c r="T57" s="381"/>
      <c r="U57" s="381"/>
      <c r="V57" s="399">
        <v>187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4"/>
      <c r="B58" s="389"/>
      <c r="C58" s="375"/>
      <c r="D58" s="377"/>
      <c r="E58" s="377"/>
      <c r="F58" s="377"/>
      <c r="G58" s="377"/>
      <c r="H58" s="377"/>
      <c r="I58" s="381"/>
      <c r="J58" s="377"/>
      <c r="K58" s="377"/>
      <c r="L58" s="377"/>
      <c r="M58" s="377"/>
      <c r="N58" s="377"/>
      <c r="O58" s="381"/>
      <c r="P58" s="381"/>
      <c r="Q58" s="381"/>
      <c r="R58" s="381"/>
      <c r="S58" s="381"/>
      <c r="T58" s="381"/>
      <c r="U58" s="381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4"/>
      <c r="B59" s="400" t="s">
        <v>92</v>
      </c>
      <c r="C59" s="401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3"/>
      <c r="W59" s="403"/>
      <c r="X59" s="403"/>
      <c r="Y59" s="403"/>
      <c r="Z59" s="403"/>
      <c r="AA59" s="403"/>
      <c r="AB59" s="404"/>
      <c r="AC59" s="4"/>
      <c r="AD59" s="4"/>
    </row>
    <row r="60" spans="1:30" x14ac:dyDescent="0.25">
      <c r="A60" s="4"/>
      <c r="B60" s="504" t="s">
        <v>164</v>
      </c>
      <c r="M60"/>
      <c r="AB60" s="407"/>
      <c r="AC60" s="4"/>
      <c r="AD60" s="4"/>
    </row>
    <row r="61" spans="1:30" x14ac:dyDescent="0.25">
      <c r="A61" s="4"/>
      <c r="B61" s="408" t="s">
        <v>165</v>
      </c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09"/>
      <c r="AB61" s="407"/>
      <c r="AC61" s="4"/>
      <c r="AD61" s="4"/>
    </row>
    <row r="62" spans="1:30" x14ac:dyDescent="0.25">
      <c r="A62" s="4"/>
      <c r="B62" s="408" t="s">
        <v>166</v>
      </c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09"/>
      <c r="AB62" s="407"/>
      <c r="AC62" s="4"/>
      <c r="AD62" s="4"/>
    </row>
    <row r="63" spans="1:30" x14ac:dyDescent="0.25">
      <c r="A63" s="4"/>
      <c r="B63" s="408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AB63" s="407"/>
      <c r="AC63" s="4"/>
      <c r="AD63" s="4"/>
    </row>
    <row r="64" spans="1:30" x14ac:dyDescent="0.25">
      <c r="A64" s="4"/>
      <c r="B64" s="410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AB64" s="407"/>
      <c r="AC64" s="4"/>
      <c r="AD64" s="4"/>
    </row>
    <row r="65" spans="1:30" x14ac:dyDescent="0.25">
      <c r="A65" s="4"/>
      <c r="B65" s="411"/>
      <c r="C65" s="413"/>
      <c r="D65" s="412"/>
      <c r="E65" s="412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AB65" s="407"/>
      <c r="AC65" s="4"/>
      <c r="AD65" s="4"/>
    </row>
    <row r="66" spans="1:30" x14ac:dyDescent="0.25">
      <c r="A66" s="4"/>
      <c r="B66" s="414"/>
      <c r="C66" s="415"/>
      <c r="D66" s="416"/>
      <c r="E66" s="416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06"/>
      <c r="W66" s="406"/>
      <c r="X66" s="406"/>
      <c r="Y66" s="406"/>
      <c r="Z66" s="406"/>
      <c r="AA66" s="406"/>
      <c r="AB66" s="418"/>
      <c r="AC66" s="4"/>
      <c r="AD66" s="4"/>
    </row>
    <row r="67" spans="1:30" x14ac:dyDescent="0.25">
      <c r="A67" s="4"/>
      <c r="B67" s="419"/>
      <c r="C67" s="420"/>
      <c r="D67" s="419"/>
      <c r="E67" s="419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1"/>
      <c r="Q67" s="421"/>
      <c r="R67" s="421"/>
      <c r="S67" s="421"/>
      <c r="T67" s="421"/>
      <c r="U67" s="421"/>
      <c r="V67" s="4"/>
      <c r="W67" s="4"/>
      <c r="X67" s="4"/>
      <c r="Y67" s="4"/>
      <c r="Z67" s="4"/>
      <c r="AA67" s="4"/>
      <c r="AB67" s="4"/>
      <c r="AC67" s="4"/>
      <c r="AD67" s="4"/>
    </row>
    <row r="68" spans="1:30" x14ac:dyDescent="0.25">
      <c r="A68" s="4"/>
      <c r="B68" s="419"/>
      <c r="C68" s="420"/>
      <c r="D68" s="419"/>
      <c r="E68" s="419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25">
      <c r="A69" s="4"/>
      <c r="B69" s="422"/>
      <c r="C69" s="422"/>
      <c r="D69" s="422"/>
      <c r="E69" s="422"/>
      <c r="F69" s="422"/>
      <c r="G69" s="422"/>
      <c r="H69" s="422"/>
      <c r="I69" s="422"/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422"/>
      <c r="U69" s="422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5">
      <c r="A70" s="4"/>
      <c r="B70" s="422" t="s">
        <v>80</v>
      </c>
      <c r="C70" s="423">
        <v>45201</v>
      </c>
      <c r="D70" s="422" t="s">
        <v>76</v>
      </c>
      <c r="E70" s="409" t="s">
        <v>167</v>
      </c>
      <c r="F70" s="409"/>
      <c r="G70" s="409"/>
      <c r="H70" s="422"/>
      <c r="I70" s="422" t="s">
        <v>77</v>
      </c>
      <c r="J70" s="424" t="s">
        <v>168</v>
      </c>
      <c r="K70" s="424"/>
      <c r="L70" s="424"/>
      <c r="M70" s="424"/>
      <c r="N70" s="422"/>
      <c r="O70" s="422"/>
      <c r="P70" s="422"/>
      <c r="Q70" s="422"/>
      <c r="R70" s="422"/>
      <c r="S70" s="422"/>
      <c r="T70" s="422"/>
      <c r="U70" s="422"/>
      <c r="V70" s="4"/>
      <c r="W70" s="4"/>
      <c r="X70" s="4"/>
      <c r="Y70" s="4"/>
      <c r="Z70" s="4"/>
      <c r="AA70" s="4"/>
      <c r="AB70" s="4"/>
      <c r="AC70" s="4"/>
      <c r="AD70" s="4"/>
    </row>
    <row r="71" spans="1:30" ht="7.5" customHeight="1" x14ac:dyDescent="0.25">
      <c r="A71" s="4"/>
      <c r="B71" s="422"/>
      <c r="C71" s="422"/>
      <c r="D71" s="422"/>
      <c r="E71" s="422"/>
      <c r="F71" s="422"/>
      <c r="G71" s="422"/>
      <c r="H71" s="422"/>
      <c r="I71" s="422"/>
      <c r="J71" s="422"/>
      <c r="K71" s="422"/>
      <c r="L71" s="422"/>
      <c r="M71" s="422"/>
      <c r="N71" s="422"/>
      <c r="O71" s="422"/>
      <c r="P71" s="422"/>
      <c r="Q71" s="422"/>
      <c r="R71" s="422"/>
      <c r="S71" s="422"/>
      <c r="T71" s="422"/>
      <c r="U71" s="422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5">
      <c r="A72" s="4"/>
      <c r="B72" s="422"/>
      <c r="C72" s="422"/>
      <c r="D72" s="422" t="s">
        <v>79</v>
      </c>
      <c r="E72" s="425"/>
      <c r="F72" s="425"/>
      <c r="G72" s="425"/>
      <c r="H72" s="422"/>
      <c r="I72" s="422" t="s">
        <v>79</v>
      </c>
      <c r="J72" s="426"/>
      <c r="K72" s="426"/>
      <c r="L72" s="426"/>
      <c r="M72" s="426"/>
      <c r="N72" s="422"/>
      <c r="O72" s="422"/>
      <c r="P72" s="422"/>
      <c r="Q72" s="422"/>
      <c r="R72" s="422"/>
      <c r="S72" s="422"/>
      <c r="T72" s="422"/>
      <c r="U72" s="422"/>
      <c r="V72" s="4"/>
      <c r="W72" s="4"/>
      <c r="X72" s="4"/>
      <c r="Y72" s="4"/>
      <c r="Z72" s="4"/>
      <c r="AA72" s="4"/>
      <c r="AB72" s="4"/>
      <c r="AC72" s="4"/>
      <c r="AD72" s="4"/>
    </row>
    <row r="73" spans="1:30" x14ac:dyDescent="0.25">
      <c r="A73" s="4"/>
      <c r="B73" s="422"/>
      <c r="C73" s="422"/>
      <c r="D73" s="422"/>
      <c r="E73" s="425"/>
      <c r="F73" s="425"/>
      <c r="G73" s="425"/>
      <c r="H73" s="422"/>
      <c r="I73" s="422"/>
      <c r="J73" s="426"/>
      <c r="K73" s="426"/>
      <c r="L73" s="426"/>
      <c r="M73" s="426"/>
      <c r="N73" s="422"/>
      <c r="O73" s="422"/>
      <c r="P73" s="422"/>
      <c r="Q73" s="422"/>
      <c r="R73" s="422"/>
      <c r="S73" s="422"/>
      <c r="T73" s="422"/>
      <c r="U73" s="422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A74" s="4"/>
      <c r="B74" s="422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A75" s="4"/>
      <c r="B75" s="422"/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"/>
      <c r="W75" s="4"/>
      <c r="X75" s="4"/>
      <c r="Y75" s="4"/>
      <c r="Z75" s="4"/>
      <c r="AA75" s="4"/>
      <c r="AB75" s="4"/>
      <c r="AC75" s="4"/>
      <c r="AD75" s="4"/>
    </row>
    <row r="78" spans="1:30" x14ac:dyDescent="0.25"/>
    <row r="79" spans="1:30" x14ac:dyDescent="0.25"/>
    <row r="80" spans="1:3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ht="15" hidden="1" customHeight="1" x14ac:dyDescent="0.25"/>
    <row r="93" x14ac:dyDescent="0.25"/>
    <row r="94" x14ac:dyDescent="0.25"/>
    <row r="95" x14ac:dyDescent="0.25"/>
    <row r="96" x14ac:dyDescent="0.25"/>
    <row r="97" x14ac:dyDescent="0.25"/>
    <row r="106" ht="15" hidden="1" customHeight="1" x14ac:dyDescent="0.25"/>
    <row r="107" ht="15" hidden="1" customHeight="1" x14ac:dyDescent="0.25"/>
    <row r="113" x14ac:dyDescent="0.25"/>
    <row r="127" x14ac:dyDescent="0.25"/>
    <row r="128" x14ac:dyDescent="0.25"/>
  </sheetData>
  <mergeCells count="64">
    <mergeCell ref="B62:U62"/>
    <mergeCell ref="B63:U63"/>
    <mergeCell ref="E70:G70"/>
    <mergeCell ref="J70:M70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59" priority="3" operator="equal">
      <formula>0</formula>
    </cfRule>
    <cfRule type="containsErrors" dxfId="58" priority="4">
      <formula>ISERROR(AB15)</formula>
    </cfRule>
  </conditionalFormatting>
  <conditionalFormatting sqref="AB28:AB41">
    <cfRule type="cellIs" dxfId="57" priority="1" operator="equal">
      <formula>0</formula>
    </cfRule>
    <cfRule type="containsErrors" dxfId="56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D138"/>
  <sheetViews>
    <sheetView showGridLines="0" zoomScale="80" zoomScaleNormal="80" zoomScaleSheetLayoutView="80" workbookViewId="0">
      <selection activeCell="B32" sqref="B32:AA3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427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7.7109375" bestFit="1" customWidth="1"/>
    <col min="30" max="30" width="0" hidden="1" customWidth="1"/>
    <col min="31" max="16384" width="9.140625" hidden="1"/>
  </cols>
  <sheetData>
    <row r="1" spans="1:3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7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4"/>
      <c r="B2" s="238" t="s">
        <v>104</v>
      </c>
      <c r="C2" s="4"/>
      <c r="D2" s="4"/>
      <c r="E2" s="4"/>
      <c r="F2" s="4"/>
      <c r="G2" s="4"/>
      <c r="H2" s="4"/>
      <c r="I2" s="4"/>
      <c r="J2" s="4"/>
      <c r="K2" s="4"/>
      <c r="L2" s="4"/>
      <c r="M2" s="23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3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4"/>
      <c r="B4" s="4" t="s">
        <v>43</v>
      </c>
      <c r="C4" s="4"/>
      <c r="D4" s="239" t="s">
        <v>169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23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4"/>
      <c r="B6" s="4" t="s">
        <v>44</v>
      </c>
      <c r="C6" s="4"/>
      <c r="D6" s="240">
        <v>379719</v>
      </c>
      <c r="E6" s="4"/>
      <c r="F6" s="4"/>
      <c r="G6" s="4"/>
      <c r="H6" s="4"/>
      <c r="I6" s="4"/>
      <c r="J6" s="4"/>
      <c r="K6" s="4"/>
      <c r="L6" s="4"/>
      <c r="M6" s="237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4"/>
      <c r="B7" s="4"/>
      <c r="C7" s="4"/>
      <c r="D7" s="241"/>
      <c r="E7" s="4"/>
      <c r="F7" s="4"/>
      <c r="G7" s="4"/>
      <c r="H7" s="4"/>
      <c r="I7" s="4"/>
      <c r="J7" s="4"/>
      <c r="K7" s="4"/>
      <c r="L7" s="4"/>
      <c r="M7" s="23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4"/>
      <c r="B8" s="4" t="s">
        <v>45</v>
      </c>
      <c r="C8" s="4"/>
      <c r="D8" s="242" t="s">
        <v>170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37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4"/>
      <c r="B10" s="243" t="s">
        <v>37</v>
      </c>
      <c r="C10" s="244" t="s">
        <v>38</v>
      </c>
      <c r="D10" s="245" t="s">
        <v>100</v>
      </c>
      <c r="E10" s="246"/>
      <c r="F10" s="246"/>
      <c r="G10" s="246"/>
      <c r="H10" s="246"/>
      <c r="I10" s="247"/>
      <c r="J10" s="245" t="s">
        <v>101</v>
      </c>
      <c r="K10" s="246"/>
      <c r="L10" s="246"/>
      <c r="M10" s="246"/>
      <c r="N10" s="246"/>
      <c r="O10" s="247"/>
      <c r="P10" s="245" t="s">
        <v>102</v>
      </c>
      <c r="Q10" s="246"/>
      <c r="R10" s="246"/>
      <c r="S10" s="246"/>
      <c r="T10" s="246"/>
      <c r="U10" s="247"/>
      <c r="V10" s="245" t="s">
        <v>103</v>
      </c>
      <c r="W10" s="246"/>
      <c r="X10" s="246"/>
      <c r="Y10" s="246"/>
      <c r="Z10" s="246"/>
      <c r="AA10" s="247"/>
      <c r="AB10" s="248" t="s">
        <v>99</v>
      </c>
      <c r="AC10" s="4"/>
      <c r="AD10" s="4"/>
    </row>
    <row r="11" spans="1:30" ht="30.75" customHeight="1" thickBot="1" x14ac:dyDescent="0.3">
      <c r="A11" s="4"/>
      <c r="B11" s="249"/>
      <c r="C11" s="250"/>
      <c r="D11" s="251" t="s">
        <v>39</v>
      </c>
      <c r="E11" s="252"/>
      <c r="F11" s="252"/>
      <c r="G11" s="253"/>
      <c r="H11" s="254" t="s">
        <v>40</v>
      </c>
      <c r="I11" s="254" t="s">
        <v>61</v>
      </c>
      <c r="J11" s="251" t="s">
        <v>39</v>
      </c>
      <c r="K11" s="252"/>
      <c r="L11" s="252"/>
      <c r="M11" s="253"/>
      <c r="N11" s="254" t="s">
        <v>40</v>
      </c>
      <c r="O11" s="254" t="s">
        <v>61</v>
      </c>
      <c r="P11" s="251" t="s">
        <v>39</v>
      </c>
      <c r="Q11" s="252"/>
      <c r="R11" s="252"/>
      <c r="S11" s="253"/>
      <c r="T11" s="254" t="s">
        <v>40</v>
      </c>
      <c r="U11" s="254" t="s">
        <v>61</v>
      </c>
      <c r="V11" s="251" t="s">
        <v>39</v>
      </c>
      <c r="W11" s="252"/>
      <c r="X11" s="252"/>
      <c r="Y11" s="253"/>
      <c r="Z11" s="254" t="s">
        <v>40</v>
      </c>
      <c r="AA11" s="254" t="s">
        <v>61</v>
      </c>
      <c r="AB11" s="255"/>
      <c r="AC11" s="4"/>
      <c r="AD11" s="4"/>
    </row>
    <row r="12" spans="1:30" ht="15.75" customHeight="1" thickBot="1" x14ac:dyDescent="0.3">
      <c r="A12" s="4"/>
      <c r="B12" s="249"/>
      <c r="C12" s="256"/>
      <c r="D12" s="257" t="s">
        <v>62</v>
      </c>
      <c r="E12" s="258"/>
      <c r="F12" s="258"/>
      <c r="G12" s="258"/>
      <c r="H12" s="258"/>
      <c r="I12" s="259"/>
      <c r="J12" s="257" t="s">
        <v>62</v>
      </c>
      <c r="K12" s="258"/>
      <c r="L12" s="258"/>
      <c r="M12" s="258"/>
      <c r="N12" s="258"/>
      <c r="O12" s="259"/>
      <c r="P12" s="257" t="s">
        <v>62</v>
      </c>
      <c r="Q12" s="258"/>
      <c r="R12" s="258"/>
      <c r="S12" s="258"/>
      <c r="T12" s="258"/>
      <c r="U12" s="259"/>
      <c r="V12" s="257" t="s">
        <v>62</v>
      </c>
      <c r="W12" s="258"/>
      <c r="X12" s="258"/>
      <c r="Y12" s="258"/>
      <c r="Z12" s="258"/>
      <c r="AA12" s="259"/>
      <c r="AB12" s="255"/>
      <c r="AC12" s="4"/>
      <c r="AD12" s="4"/>
    </row>
    <row r="13" spans="1:30" ht="15.75" customHeight="1" thickBot="1" x14ac:dyDescent="0.3">
      <c r="A13" s="4"/>
      <c r="B13" s="260"/>
      <c r="C13" s="261"/>
      <c r="D13" s="262" t="s">
        <v>57</v>
      </c>
      <c r="E13" s="263"/>
      <c r="F13" s="263"/>
      <c r="G13" s="264" t="s">
        <v>63</v>
      </c>
      <c r="H13" s="265" t="s">
        <v>66</v>
      </c>
      <c r="I13" s="266" t="s">
        <v>62</v>
      </c>
      <c r="J13" s="262" t="s">
        <v>57</v>
      </c>
      <c r="K13" s="263"/>
      <c r="L13" s="263"/>
      <c r="M13" s="264" t="s">
        <v>63</v>
      </c>
      <c r="N13" s="265" t="s">
        <v>66</v>
      </c>
      <c r="O13" s="266" t="s">
        <v>62</v>
      </c>
      <c r="P13" s="262" t="s">
        <v>57</v>
      </c>
      <c r="Q13" s="263"/>
      <c r="R13" s="263"/>
      <c r="S13" s="264" t="s">
        <v>63</v>
      </c>
      <c r="T13" s="265" t="s">
        <v>66</v>
      </c>
      <c r="U13" s="266" t="s">
        <v>62</v>
      </c>
      <c r="V13" s="262" t="s">
        <v>57</v>
      </c>
      <c r="W13" s="263"/>
      <c r="X13" s="263"/>
      <c r="Y13" s="264" t="s">
        <v>63</v>
      </c>
      <c r="Z13" s="265" t="s">
        <v>66</v>
      </c>
      <c r="AA13" s="266" t="s">
        <v>62</v>
      </c>
      <c r="AB13" s="255"/>
      <c r="AC13" s="4"/>
      <c r="AD13" s="4"/>
    </row>
    <row r="14" spans="1:30" ht="15.75" thickBot="1" x14ac:dyDescent="0.3">
      <c r="A14" s="4"/>
      <c r="B14" s="267"/>
      <c r="C14" s="268"/>
      <c r="D14" s="269" t="s">
        <v>58</v>
      </c>
      <c r="E14" s="270" t="s">
        <v>90</v>
      </c>
      <c r="F14" s="270" t="s">
        <v>59</v>
      </c>
      <c r="G14" s="271"/>
      <c r="H14" s="272"/>
      <c r="I14" s="273"/>
      <c r="J14" s="269" t="s">
        <v>58</v>
      </c>
      <c r="K14" s="270" t="s">
        <v>90</v>
      </c>
      <c r="L14" s="270" t="s">
        <v>59</v>
      </c>
      <c r="M14" s="271"/>
      <c r="N14" s="272"/>
      <c r="O14" s="273"/>
      <c r="P14" s="269" t="s">
        <v>58</v>
      </c>
      <c r="Q14" s="270" t="s">
        <v>90</v>
      </c>
      <c r="R14" s="270" t="s">
        <v>59</v>
      </c>
      <c r="S14" s="271"/>
      <c r="T14" s="272"/>
      <c r="U14" s="273"/>
      <c r="V14" s="269" t="s">
        <v>58</v>
      </c>
      <c r="W14" s="270" t="s">
        <v>90</v>
      </c>
      <c r="X14" s="270" t="s">
        <v>59</v>
      </c>
      <c r="Y14" s="271"/>
      <c r="Z14" s="272"/>
      <c r="AA14" s="273"/>
      <c r="AB14" s="274"/>
      <c r="AC14" s="4"/>
      <c r="AD14" s="4"/>
    </row>
    <row r="15" spans="1:30" x14ac:dyDescent="0.25">
      <c r="A15" s="4"/>
      <c r="B15" s="275" t="s">
        <v>0</v>
      </c>
      <c r="C15" s="276" t="s">
        <v>52</v>
      </c>
      <c r="D15" s="277"/>
      <c r="E15" s="278"/>
      <c r="F15" s="279">
        <f>28035.9+329.4+4.6</f>
        <v>28369.9</v>
      </c>
      <c r="G15" s="280">
        <f>SUM(D15:F15)</f>
        <v>28369.9</v>
      </c>
      <c r="H15" s="281">
        <v>8481.7000000000007</v>
      </c>
      <c r="I15" s="282">
        <f>G15+H15</f>
        <v>36851.600000000006</v>
      </c>
      <c r="J15" s="277"/>
      <c r="K15" s="278"/>
      <c r="L15" s="279">
        <v>30200</v>
      </c>
      <c r="M15" s="280">
        <v>30200</v>
      </c>
      <c r="N15" s="281">
        <v>7200</v>
      </c>
      <c r="O15" s="282">
        <v>37400</v>
      </c>
      <c r="P15" s="277"/>
      <c r="Q15" s="278"/>
      <c r="R15" s="279">
        <v>16843.3</v>
      </c>
      <c r="S15" s="280">
        <v>16843.3</v>
      </c>
      <c r="T15" s="281">
        <v>4357.8</v>
      </c>
      <c r="U15" s="282">
        <v>21201.1</v>
      </c>
      <c r="V15" s="277"/>
      <c r="W15" s="278"/>
      <c r="X15" s="279">
        <v>32500</v>
      </c>
      <c r="Y15" s="280">
        <f>V15+W15+X15</f>
        <v>32500</v>
      </c>
      <c r="Z15" s="281">
        <v>7500</v>
      </c>
      <c r="AA15" s="282">
        <f>Y15+Z15</f>
        <v>40000</v>
      </c>
      <c r="AB15" s="283">
        <f>(AA15/O15)</f>
        <v>1.0695187165775402</v>
      </c>
      <c r="AC15" s="4"/>
      <c r="AD15" s="4"/>
    </row>
    <row r="16" spans="1:30" x14ac:dyDescent="0.25">
      <c r="A16" s="4"/>
      <c r="B16" s="284" t="s">
        <v>1</v>
      </c>
      <c r="C16" s="285" t="s">
        <v>60</v>
      </c>
      <c r="D16" s="286">
        <v>47982.9</v>
      </c>
      <c r="E16" s="287"/>
      <c r="F16" s="287"/>
      <c r="G16" s="288">
        <f t="shared" ref="G16:G23" si="0">SUM(D16:F16)</f>
        <v>47982.9</v>
      </c>
      <c r="H16" s="289"/>
      <c r="I16" s="282">
        <f t="shared" ref="I16:I23" si="1">G16+H16</f>
        <v>47982.9</v>
      </c>
      <c r="J16" s="286">
        <v>51600</v>
      </c>
      <c r="K16" s="287"/>
      <c r="L16" s="287"/>
      <c r="M16" s="288">
        <v>51600</v>
      </c>
      <c r="N16" s="289"/>
      <c r="O16" s="282">
        <v>51600</v>
      </c>
      <c r="P16" s="286">
        <v>25800</v>
      </c>
      <c r="Q16" s="287"/>
      <c r="R16" s="287"/>
      <c r="S16" s="288">
        <v>25800</v>
      </c>
      <c r="T16" s="289"/>
      <c r="U16" s="282">
        <v>25800</v>
      </c>
      <c r="V16" s="286">
        <v>54300</v>
      </c>
      <c r="W16" s="287"/>
      <c r="X16" s="287"/>
      <c r="Y16" s="280">
        <f t="shared" ref="Y16:Y23" si="2">V16+W16+X16</f>
        <v>54300</v>
      </c>
      <c r="Z16" s="289"/>
      <c r="AA16" s="282">
        <f t="shared" ref="AA16:AA21" si="3">Y16+Z16</f>
        <v>54300</v>
      </c>
      <c r="AB16" s="283">
        <f t="shared" ref="AB16:AB24" si="4">(AA16/O16)</f>
        <v>1.0523255813953489</v>
      </c>
      <c r="AC16" s="4"/>
      <c r="AD16" s="4"/>
    </row>
    <row r="17" spans="1:30" x14ac:dyDescent="0.25">
      <c r="A17" s="4"/>
      <c r="B17" s="284" t="s">
        <v>3</v>
      </c>
      <c r="C17" s="290" t="s">
        <v>78</v>
      </c>
      <c r="D17" s="58"/>
      <c r="E17" s="291"/>
      <c r="F17" s="291"/>
      <c r="G17" s="288">
        <f t="shared" si="0"/>
        <v>0</v>
      </c>
      <c r="H17" s="292"/>
      <c r="I17" s="282">
        <f t="shared" si="1"/>
        <v>0</v>
      </c>
      <c r="J17" s="58"/>
      <c r="K17" s="291"/>
      <c r="L17" s="291"/>
      <c r="M17" s="288">
        <v>0</v>
      </c>
      <c r="N17" s="292"/>
      <c r="O17" s="282">
        <v>0</v>
      </c>
      <c r="P17" s="58"/>
      <c r="Q17" s="291"/>
      <c r="R17" s="291"/>
      <c r="S17" s="288">
        <v>0</v>
      </c>
      <c r="T17" s="292"/>
      <c r="U17" s="282">
        <v>0</v>
      </c>
      <c r="V17" s="58"/>
      <c r="W17" s="291"/>
      <c r="X17" s="291"/>
      <c r="Y17" s="280">
        <f t="shared" si="2"/>
        <v>0</v>
      </c>
      <c r="Z17" s="292"/>
      <c r="AA17" s="282">
        <f t="shared" si="3"/>
        <v>0</v>
      </c>
      <c r="AB17" s="283" t="e">
        <f t="shared" si="4"/>
        <v>#DIV/0!</v>
      </c>
      <c r="AC17" s="4"/>
      <c r="AD17" s="4"/>
    </row>
    <row r="18" spans="1:30" x14ac:dyDescent="0.25">
      <c r="A18" s="4"/>
      <c r="B18" s="284" t="s">
        <v>5</v>
      </c>
      <c r="C18" s="293" t="s">
        <v>53</v>
      </c>
      <c r="D18" s="294"/>
      <c r="E18" s="60">
        <f>176+211.1+34.7+300+200+254.4+396.3+0</f>
        <v>1572.5</v>
      </c>
      <c r="F18" s="291"/>
      <c r="G18" s="288">
        <f t="shared" si="0"/>
        <v>1572.5</v>
      </c>
      <c r="H18" s="281"/>
      <c r="I18" s="282">
        <f t="shared" si="1"/>
        <v>1572.5</v>
      </c>
      <c r="J18" s="294"/>
      <c r="K18" s="60">
        <v>1100</v>
      </c>
      <c r="L18" s="291"/>
      <c r="M18" s="288">
        <v>1100</v>
      </c>
      <c r="N18" s="281"/>
      <c r="O18" s="282">
        <v>1100</v>
      </c>
      <c r="P18" s="294"/>
      <c r="Q18" s="60">
        <v>664.9</v>
      </c>
      <c r="R18" s="291"/>
      <c r="S18" s="288">
        <v>664.9</v>
      </c>
      <c r="T18" s="281"/>
      <c r="U18" s="282">
        <v>664.9</v>
      </c>
      <c r="V18" s="294"/>
      <c r="W18" s="60">
        <v>1100</v>
      </c>
      <c r="X18" s="291"/>
      <c r="Y18" s="280">
        <f t="shared" si="2"/>
        <v>1100</v>
      </c>
      <c r="Z18" s="281"/>
      <c r="AA18" s="282">
        <f t="shared" si="3"/>
        <v>1100</v>
      </c>
      <c r="AB18" s="283">
        <f t="shared" si="4"/>
        <v>1</v>
      </c>
      <c r="AC18" s="4"/>
      <c r="AD18" s="4"/>
    </row>
    <row r="19" spans="1:30" x14ac:dyDescent="0.25">
      <c r="A19" s="4"/>
      <c r="B19" s="284" t="s">
        <v>7</v>
      </c>
      <c r="C19" s="295" t="s">
        <v>46</v>
      </c>
      <c r="D19" s="296"/>
      <c r="E19" s="291"/>
      <c r="F19" s="60">
        <v>1446.2</v>
      </c>
      <c r="G19" s="288">
        <f t="shared" si="0"/>
        <v>1446.2</v>
      </c>
      <c r="H19" s="281"/>
      <c r="I19" s="282">
        <f t="shared" si="1"/>
        <v>1446.2</v>
      </c>
      <c r="J19" s="296"/>
      <c r="K19" s="291"/>
      <c r="L19" s="60">
        <v>1400</v>
      </c>
      <c r="M19" s="288">
        <v>1400</v>
      </c>
      <c r="N19" s="281"/>
      <c r="O19" s="282">
        <v>1400</v>
      </c>
      <c r="P19" s="296"/>
      <c r="Q19" s="291"/>
      <c r="R19" s="60">
        <v>718</v>
      </c>
      <c r="S19" s="288">
        <v>718</v>
      </c>
      <c r="T19" s="281"/>
      <c r="U19" s="282">
        <v>718</v>
      </c>
      <c r="V19" s="296"/>
      <c r="W19" s="291"/>
      <c r="X19" s="60">
        <v>1300</v>
      </c>
      <c r="Y19" s="280">
        <f t="shared" si="2"/>
        <v>1300</v>
      </c>
      <c r="Z19" s="281"/>
      <c r="AA19" s="282">
        <f t="shared" si="3"/>
        <v>1300</v>
      </c>
      <c r="AB19" s="283">
        <f t="shared" si="4"/>
        <v>0.9285714285714286</v>
      </c>
      <c r="AC19" s="4"/>
      <c r="AD19" s="4"/>
    </row>
    <row r="20" spans="1:30" x14ac:dyDescent="0.25">
      <c r="A20" s="4"/>
      <c r="B20" s="284" t="s">
        <v>9</v>
      </c>
      <c r="C20" s="297" t="s">
        <v>47</v>
      </c>
      <c r="D20" s="294"/>
      <c r="E20" s="287"/>
      <c r="F20" s="298"/>
      <c r="G20" s="288"/>
      <c r="H20" s="281"/>
      <c r="I20" s="282">
        <f t="shared" si="1"/>
        <v>0</v>
      </c>
      <c r="J20" s="294"/>
      <c r="K20" s="287"/>
      <c r="L20" s="298">
        <v>2200</v>
      </c>
      <c r="M20" s="288">
        <v>2200</v>
      </c>
      <c r="N20" s="281"/>
      <c r="O20" s="282">
        <v>2200</v>
      </c>
      <c r="P20" s="294"/>
      <c r="Q20" s="287"/>
      <c r="R20" s="298"/>
      <c r="S20" s="288">
        <v>0</v>
      </c>
      <c r="T20" s="281"/>
      <c r="U20" s="282">
        <v>0</v>
      </c>
      <c r="V20" s="294"/>
      <c r="W20" s="287"/>
      <c r="X20" s="298">
        <v>1500</v>
      </c>
      <c r="Y20" s="280">
        <f t="shared" si="2"/>
        <v>1500</v>
      </c>
      <c r="Z20" s="281"/>
      <c r="AA20" s="282">
        <f t="shared" si="3"/>
        <v>1500</v>
      </c>
      <c r="AB20" s="283">
        <f t="shared" si="4"/>
        <v>0.68181818181818177</v>
      </c>
      <c r="AC20" s="4"/>
      <c r="AD20" s="4"/>
    </row>
    <row r="21" spans="1:30" x14ac:dyDescent="0.25">
      <c r="A21" s="4"/>
      <c r="B21" s="284" t="s">
        <v>11</v>
      </c>
      <c r="C21" s="299" t="s">
        <v>2</v>
      </c>
      <c r="D21" s="294"/>
      <c r="E21" s="287"/>
      <c r="F21" s="298">
        <f>971.8+1794.1+514.7+0.2</f>
        <v>3280.7999999999993</v>
      </c>
      <c r="G21" s="288">
        <f t="shared" si="0"/>
        <v>3280.7999999999993</v>
      </c>
      <c r="H21" s="300">
        <f>941.9+72</f>
        <v>1013.9</v>
      </c>
      <c r="I21" s="282">
        <f>G21+H21</f>
        <v>4294.6999999999989</v>
      </c>
      <c r="J21" s="294"/>
      <c r="K21" s="287"/>
      <c r="L21" s="298">
        <v>2150</v>
      </c>
      <c r="M21" s="288">
        <v>2150</v>
      </c>
      <c r="N21" s="300">
        <v>930</v>
      </c>
      <c r="O21" s="282">
        <v>3080</v>
      </c>
      <c r="P21" s="294"/>
      <c r="Q21" s="287"/>
      <c r="R21" s="298">
        <v>2060.3000000000002</v>
      </c>
      <c r="S21" s="288">
        <v>2060.3000000000002</v>
      </c>
      <c r="T21" s="300">
        <v>610.70000000000005</v>
      </c>
      <c r="U21" s="282">
        <v>2671</v>
      </c>
      <c r="V21" s="294"/>
      <c r="W21" s="287"/>
      <c r="X21" s="298">
        <v>2500</v>
      </c>
      <c r="Y21" s="280">
        <f t="shared" si="2"/>
        <v>2500</v>
      </c>
      <c r="Z21" s="300">
        <v>1000</v>
      </c>
      <c r="AA21" s="282">
        <f t="shared" si="3"/>
        <v>3500</v>
      </c>
      <c r="AB21" s="283">
        <f t="shared" si="4"/>
        <v>1.1363636363636365</v>
      </c>
      <c r="AC21" s="4"/>
      <c r="AD21" s="4"/>
    </row>
    <row r="22" spans="1:30" x14ac:dyDescent="0.25">
      <c r="A22" s="4"/>
      <c r="B22" s="284" t="s">
        <v>13</v>
      </c>
      <c r="C22" s="299" t="s">
        <v>4</v>
      </c>
      <c r="D22" s="294"/>
      <c r="E22" s="287"/>
      <c r="F22" s="298"/>
      <c r="G22" s="288">
        <f t="shared" si="0"/>
        <v>0</v>
      </c>
      <c r="H22" s="300"/>
      <c r="I22" s="282">
        <f t="shared" si="1"/>
        <v>0</v>
      </c>
      <c r="J22" s="294"/>
      <c r="K22" s="287"/>
      <c r="L22" s="298"/>
      <c r="M22" s="288">
        <v>0</v>
      </c>
      <c r="N22" s="300"/>
      <c r="O22" s="282">
        <v>0</v>
      </c>
      <c r="P22" s="294"/>
      <c r="Q22" s="287"/>
      <c r="R22" s="298"/>
      <c r="S22" s="288">
        <v>0</v>
      </c>
      <c r="T22" s="300"/>
      <c r="U22" s="282">
        <v>0</v>
      </c>
      <c r="V22" s="294"/>
      <c r="W22" s="287"/>
      <c r="X22" s="298"/>
      <c r="Y22" s="280">
        <f t="shared" si="2"/>
        <v>0</v>
      </c>
      <c r="Z22" s="300"/>
      <c r="AA22" s="282">
        <v>0</v>
      </c>
      <c r="AB22" s="283" t="e">
        <f t="shared" si="4"/>
        <v>#DIV/0!</v>
      </c>
      <c r="AC22" s="4"/>
      <c r="AD22" s="4"/>
    </row>
    <row r="23" spans="1:30" ht="15.75" thickBot="1" x14ac:dyDescent="0.3">
      <c r="A23" s="4"/>
      <c r="B23" s="301" t="s">
        <v>15</v>
      </c>
      <c r="C23" s="302" t="s">
        <v>6</v>
      </c>
      <c r="D23" s="303"/>
      <c r="E23" s="304"/>
      <c r="F23" s="305"/>
      <c r="G23" s="306">
        <f t="shared" si="0"/>
        <v>0</v>
      </c>
      <c r="H23" s="307"/>
      <c r="I23" s="308">
        <f t="shared" si="1"/>
        <v>0</v>
      </c>
      <c r="J23" s="303"/>
      <c r="K23" s="304"/>
      <c r="L23" s="305"/>
      <c r="M23" s="306">
        <v>0</v>
      </c>
      <c r="N23" s="307"/>
      <c r="O23" s="308">
        <v>0</v>
      </c>
      <c r="P23" s="303"/>
      <c r="Q23" s="304"/>
      <c r="R23" s="305"/>
      <c r="S23" s="306">
        <v>0</v>
      </c>
      <c r="T23" s="307"/>
      <c r="U23" s="308">
        <v>0</v>
      </c>
      <c r="V23" s="303"/>
      <c r="W23" s="304"/>
      <c r="X23" s="305"/>
      <c r="Y23" s="280">
        <f t="shared" si="2"/>
        <v>0</v>
      </c>
      <c r="Z23" s="307"/>
      <c r="AA23" s="308">
        <v>0</v>
      </c>
      <c r="AB23" s="309" t="e">
        <f t="shared" si="4"/>
        <v>#DIV/0!</v>
      </c>
      <c r="AC23" s="4"/>
      <c r="AD23" s="4"/>
    </row>
    <row r="24" spans="1:30" ht="15.75" thickBot="1" x14ac:dyDescent="0.3">
      <c r="A24" s="4"/>
      <c r="B24" s="310" t="s">
        <v>17</v>
      </c>
      <c r="C24" s="311" t="s">
        <v>8</v>
      </c>
      <c r="D24" s="312">
        <f>SUM(D15:D21)</f>
        <v>47982.9</v>
      </c>
      <c r="E24" s="313">
        <f>SUM(E15:E21)</f>
        <v>1572.5</v>
      </c>
      <c r="F24" s="313">
        <f>SUM(F15:F21)</f>
        <v>33096.9</v>
      </c>
      <c r="G24" s="314">
        <f>SUM(D24:F24)</f>
        <v>82652.3</v>
      </c>
      <c r="H24" s="315">
        <f>SUM(H15:H21)</f>
        <v>9495.6</v>
      </c>
      <c r="I24" s="315">
        <f>SUM(I15:I21)</f>
        <v>92147.9</v>
      </c>
      <c r="J24" s="312">
        <f>SUM(J15:J21)</f>
        <v>51600</v>
      </c>
      <c r="K24" s="313">
        <f>SUM(K15:K21)</f>
        <v>1100</v>
      </c>
      <c r="L24" s="313">
        <f>SUM(L15:L21)</f>
        <v>35950</v>
      </c>
      <c r="M24" s="314">
        <f>SUM(J24:L24)</f>
        <v>88650</v>
      </c>
      <c r="N24" s="315">
        <f>SUM(N15:N21)</f>
        <v>8130</v>
      </c>
      <c r="O24" s="315">
        <f>SUM(O15:O21)</f>
        <v>96780</v>
      </c>
      <c r="P24" s="312">
        <f>SUM(P15:P21)</f>
        <v>25800</v>
      </c>
      <c r="Q24" s="313">
        <f>SUM(Q15:Q21)</f>
        <v>664.9</v>
      </c>
      <c r="R24" s="313">
        <f>SUM(R15:R21)</f>
        <v>19621.599999999999</v>
      </c>
      <c r="S24" s="314">
        <f>SUM(P24:R24)</f>
        <v>46086.5</v>
      </c>
      <c r="T24" s="315">
        <f>SUM(T15:T21)</f>
        <v>4968.5</v>
      </c>
      <c r="U24" s="315">
        <f>SUM(U15:U21)</f>
        <v>51055</v>
      </c>
      <c r="V24" s="312">
        <f>SUM(V15:V21)</f>
        <v>54300</v>
      </c>
      <c r="W24" s="313">
        <f>SUM(W15:W21)</f>
        <v>1100</v>
      </c>
      <c r="X24" s="313">
        <f>SUM(X15:X21)</f>
        <v>37800</v>
      </c>
      <c r="Y24" s="314">
        <f>SUM(V24:X24)</f>
        <v>93200</v>
      </c>
      <c r="Z24" s="315">
        <f>SUM(Z15:Z21)</f>
        <v>8500</v>
      </c>
      <c r="AA24" s="315">
        <f>SUM(AA15:AA21)</f>
        <v>101700</v>
      </c>
      <c r="AB24" s="316">
        <f t="shared" si="4"/>
        <v>1.050836949783013</v>
      </c>
      <c r="AC24" s="4"/>
      <c r="AD24" s="4"/>
    </row>
    <row r="25" spans="1:30" ht="15.75" customHeight="1" thickBot="1" x14ac:dyDescent="0.3">
      <c r="A25" s="4"/>
      <c r="B25" s="317"/>
      <c r="C25" s="318"/>
      <c r="D25" s="319" t="s">
        <v>68</v>
      </c>
      <c r="E25" s="320"/>
      <c r="F25" s="320"/>
      <c r="G25" s="321"/>
      <c r="H25" s="321"/>
      <c r="I25" s="322"/>
      <c r="J25" s="319" t="s">
        <v>68</v>
      </c>
      <c r="K25" s="320"/>
      <c r="L25" s="320"/>
      <c r="M25" s="321"/>
      <c r="N25" s="321"/>
      <c r="O25" s="322"/>
      <c r="P25" s="319" t="s">
        <v>68</v>
      </c>
      <c r="Q25" s="320"/>
      <c r="R25" s="320"/>
      <c r="S25" s="321"/>
      <c r="T25" s="321"/>
      <c r="U25" s="322"/>
      <c r="V25" s="319" t="s">
        <v>68</v>
      </c>
      <c r="W25" s="320"/>
      <c r="X25" s="320"/>
      <c r="Y25" s="321"/>
      <c r="Z25" s="321"/>
      <c r="AA25" s="322"/>
      <c r="AB25" s="323" t="s">
        <v>99</v>
      </c>
      <c r="AC25" s="4"/>
      <c r="AD25" s="4"/>
    </row>
    <row r="26" spans="1:30" ht="15.75" thickBot="1" x14ac:dyDescent="0.3">
      <c r="A26" s="4"/>
      <c r="B26" s="324" t="s">
        <v>37</v>
      </c>
      <c r="C26" s="244" t="s">
        <v>38</v>
      </c>
      <c r="D26" s="325" t="s">
        <v>69</v>
      </c>
      <c r="E26" s="326"/>
      <c r="F26" s="326"/>
      <c r="G26" s="264" t="s">
        <v>64</v>
      </c>
      <c r="H26" s="327" t="s">
        <v>67</v>
      </c>
      <c r="I26" s="328" t="s">
        <v>68</v>
      </c>
      <c r="J26" s="325" t="s">
        <v>69</v>
      </c>
      <c r="K26" s="326"/>
      <c r="L26" s="326"/>
      <c r="M26" s="264" t="s">
        <v>64</v>
      </c>
      <c r="N26" s="327" t="s">
        <v>67</v>
      </c>
      <c r="O26" s="328" t="s">
        <v>68</v>
      </c>
      <c r="P26" s="325" t="s">
        <v>69</v>
      </c>
      <c r="Q26" s="326"/>
      <c r="R26" s="326"/>
      <c r="S26" s="264" t="s">
        <v>64</v>
      </c>
      <c r="T26" s="327" t="s">
        <v>67</v>
      </c>
      <c r="U26" s="328" t="s">
        <v>68</v>
      </c>
      <c r="V26" s="325" t="s">
        <v>69</v>
      </c>
      <c r="W26" s="326"/>
      <c r="X26" s="326"/>
      <c r="Y26" s="264" t="s">
        <v>64</v>
      </c>
      <c r="Z26" s="327" t="s">
        <v>67</v>
      </c>
      <c r="AA26" s="328" t="s">
        <v>68</v>
      </c>
      <c r="AB26" s="329"/>
      <c r="AC26" s="4"/>
      <c r="AD26" s="4"/>
    </row>
    <row r="27" spans="1:30" ht="15.75" thickBot="1" x14ac:dyDescent="0.3">
      <c r="A27" s="4"/>
      <c r="B27" s="330"/>
      <c r="C27" s="250"/>
      <c r="D27" s="331" t="s">
        <v>54</v>
      </c>
      <c r="E27" s="332" t="s">
        <v>55</v>
      </c>
      <c r="F27" s="333" t="s">
        <v>56</v>
      </c>
      <c r="G27" s="271"/>
      <c r="H27" s="334"/>
      <c r="I27" s="335"/>
      <c r="J27" s="331" t="s">
        <v>54</v>
      </c>
      <c r="K27" s="332" t="s">
        <v>55</v>
      </c>
      <c r="L27" s="333" t="s">
        <v>56</v>
      </c>
      <c r="M27" s="271"/>
      <c r="N27" s="334"/>
      <c r="O27" s="335"/>
      <c r="P27" s="331" t="s">
        <v>54</v>
      </c>
      <c r="Q27" s="332" t="s">
        <v>55</v>
      </c>
      <c r="R27" s="333" t="s">
        <v>56</v>
      </c>
      <c r="S27" s="271"/>
      <c r="T27" s="334"/>
      <c r="U27" s="335"/>
      <c r="V27" s="331" t="s">
        <v>54</v>
      </c>
      <c r="W27" s="332" t="s">
        <v>55</v>
      </c>
      <c r="X27" s="333" t="s">
        <v>56</v>
      </c>
      <c r="Y27" s="271"/>
      <c r="Z27" s="334"/>
      <c r="AA27" s="335"/>
      <c r="AB27" s="336"/>
      <c r="AC27" s="4"/>
      <c r="AD27" s="4"/>
    </row>
    <row r="28" spans="1:30" x14ac:dyDescent="0.25">
      <c r="A28" s="4"/>
      <c r="B28" s="275" t="s">
        <v>19</v>
      </c>
      <c r="C28" s="276" t="s">
        <v>10</v>
      </c>
      <c r="D28" s="337">
        <v>2000</v>
      </c>
      <c r="E28" s="337"/>
      <c r="F28" s="337">
        <f>4847.9-2000</f>
        <v>2847.8999999999996</v>
      </c>
      <c r="G28" s="338">
        <f>SUM(D28:F28)</f>
        <v>4847.8999999999996</v>
      </c>
      <c r="H28" s="338">
        <v>391</v>
      </c>
      <c r="I28" s="339">
        <f>G28+H28</f>
        <v>5238.8999999999996</v>
      </c>
      <c r="J28" s="340">
        <v>4000</v>
      </c>
      <c r="K28" s="337"/>
      <c r="L28" s="337">
        <v>2000</v>
      </c>
      <c r="M28" s="338">
        <v>6000</v>
      </c>
      <c r="N28" s="338">
        <v>150</v>
      </c>
      <c r="O28" s="339">
        <v>6150</v>
      </c>
      <c r="P28" s="340">
        <v>1500</v>
      </c>
      <c r="Q28" s="337"/>
      <c r="R28" s="337">
        <v>1906.6999999999998</v>
      </c>
      <c r="S28" s="338">
        <v>3406.7</v>
      </c>
      <c r="T28" s="338">
        <v>24.4</v>
      </c>
      <c r="U28" s="339">
        <f>S28+T28</f>
        <v>3431.1</v>
      </c>
      <c r="V28" s="340">
        <v>4200</v>
      </c>
      <c r="W28" s="337"/>
      <c r="X28" s="337">
        <v>2000</v>
      </c>
      <c r="Y28" s="342">
        <f t="shared" ref="Y28" si="5">V28+W28+X28</f>
        <v>6200</v>
      </c>
      <c r="Z28" s="338">
        <v>200</v>
      </c>
      <c r="AA28" s="339">
        <f>Y28+Z28</f>
        <v>6400</v>
      </c>
      <c r="AB28" s="283">
        <f t="shared" ref="AB28:AB41" si="6">(AA28/O28)</f>
        <v>1.0406504065040652</v>
      </c>
      <c r="AC28" s="505"/>
      <c r="AD28" s="4"/>
    </row>
    <row r="29" spans="1:30" x14ac:dyDescent="0.25">
      <c r="A29" s="4"/>
      <c r="B29" s="284" t="s">
        <v>20</v>
      </c>
      <c r="C29" s="299" t="s">
        <v>12</v>
      </c>
      <c r="D29" s="341">
        <v>5000</v>
      </c>
      <c r="E29" s="341">
        <v>300</v>
      </c>
      <c r="F29" s="341">
        <f>10076.2-5000-300</f>
        <v>4776.2000000000007</v>
      </c>
      <c r="G29" s="342">
        <f t="shared" ref="G29:G37" si="7">SUM(D29:F29)</f>
        <v>10076.200000000001</v>
      </c>
      <c r="H29" s="342">
        <v>899.9</v>
      </c>
      <c r="I29" s="282">
        <f t="shared" ref="I29:I38" si="8">G29+H29</f>
        <v>10976.1</v>
      </c>
      <c r="J29" s="343">
        <v>4700</v>
      </c>
      <c r="K29" s="341">
        <v>600</v>
      </c>
      <c r="L29" s="341">
        <v>4000</v>
      </c>
      <c r="M29" s="342">
        <v>9300</v>
      </c>
      <c r="N29" s="342">
        <v>900</v>
      </c>
      <c r="O29" s="282">
        <v>10200</v>
      </c>
      <c r="P29" s="343">
        <v>3000</v>
      </c>
      <c r="Q29" s="341">
        <v>277.3</v>
      </c>
      <c r="R29" s="341">
        <v>3319.2</v>
      </c>
      <c r="S29" s="342">
        <v>6596.5</v>
      </c>
      <c r="T29" s="342">
        <v>29.8</v>
      </c>
      <c r="U29" s="282">
        <f t="shared" ref="U29:U38" si="9">S29+T29</f>
        <v>6626.3</v>
      </c>
      <c r="V29" s="343">
        <v>6000</v>
      </c>
      <c r="W29" s="341">
        <v>600</v>
      </c>
      <c r="X29" s="341">
        <v>3000</v>
      </c>
      <c r="Y29" s="342">
        <f>V29+W29+X29</f>
        <v>9600</v>
      </c>
      <c r="Z29" s="342">
        <v>1000</v>
      </c>
      <c r="AA29" s="282">
        <f>Y29+Z29</f>
        <v>10600</v>
      </c>
      <c r="AB29" s="283">
        <f t="shared" si="6"/>
        <v>1.0392156862745099</v>
      </c>
      <c r="AC29" s="505"/>
      <c r="AD29" s="4"/>
    </row>
    <row r="30" spans="1:30" x14ac:dyDescent="0.25">
      <c r="A30" s="4"/>
      <c r="B30" s="284" t="s">
        <v>22</v>
      </c>
      <c r="C30" s="299" t="s">
        <v>14</v>
      </c>
      <c r="D30" s="341">
        <v>3000</v>
      </c>
      <c r="E30" s="341"/>
      <c r="F30" s="341">
        <f>6320.9-3000</f>
        <v>3320.8999999999996</v>
      </c>
      <c r="G30" s="342">
        <f t="shared" si="7"/>
        <v>6320.9</v>
      </c>
      <c r="H30" s="342">
        <v>216.9</v>
      </c>
      <c r="I30" s="282">
        <f t="shared" si="8"/>
        <v>6537.7999999999993</v>
      </c>
      <c r="J30" s="343">
        <v>5000</v>
      </c>
      <c r="K30" s="341"/>
      <c r="L30" s="341">
        <v>2000</v>
      </c>
      <c r="M30" s="342">
        <v>7000</v>
      </c>
      <c r="N30" s="342"/>
      <c r="O30" s="282">
        <v>7000</v>
      </c>
      <c r="P30" s="343">
        <v>2500</v>
      </c>
      <c r="Q30" s="341"/>
      <c r="R30" s="341">
        <v>87.400000000000091</v>
      </c>
      <c r="S30" s="342">
        <v>2587.4</v>
      </c>
      <c r="T30" s="342">
        <v>0</v>
      </c>
      <c r="U30" s="282">
        <f t="shared" si="9"/>
        <v>2587.4</v>
      </c>
      <c r="V30" s="343">
        <v>5000</v>
      </c>
      <c r="W30" s="341"/>
      <c r="X30" s="341">
        <v>2000</v>
      </c>
      <c r="Y30" s="342">
        <f t="shared" ref="Y30:Y38" si="10">V30+W30+X30</f>
        <v>7000</v>
      </c>
      <c r="Z30" s="342">
        <v>200</v>
      </c>
      <c r="AA30" s="282">
        <f t="shared" ref="AA30:AA38" si="11">Y30+Z30</f>
        <v>7200</v>
      </c>
      <c r="AB30" s="283">
        <f t="shared" si="6"/>
        <v>1.0285714285714285</v>
      </c>
      <c r="AC30" s="505"/>
      <c r="AD30" s="4"/>
    </row>
    <row r="31" spans="1:30" x14ac:dyDescent="0.25">
      <c r="A31" s="4"/>
      <c r="B31" s="284" t="s">
        <v>24</v>
      </c>
      <c r="C31" s="299" t="s">
        <v>16</v>
      </c>
      <c r="D31" s="341">
        <v>5000</v>
      </c>
      <c r="E31" s="341">
        <v>254.4</v>
      </c>
      <c r="F31" s="341">
        <f>9909.2-5000-254.4</f>
        <v>4654.8000000000011</v>
      </c>
      <c r="G31" s="342">
        <f t="shared" si="7"/>
        <v>9909.2000000000007</v>
      </c>
      <c r="H31" s="342">
        <v>385.3</v>
      </c>
      <c r="I31" s="282">
        <f t="shared" si="8"/>
        <v>10294.5</v>
      </c>
      <c r="J31" s="343">
        <v>6100</v>
      </c>
      <c r="K31" s="341"/>
      <c r="L31" s="341">
        <v>3500</v>
      </c>
      <c r="M31" s="342">
        <v>9600</v>
      </c>
      <c r="N31" s="342">
        <v>200</v>
      </c>
      <c r="O31" s="282">
        <v>9800</v>
      </c>
      <c r="P31" s="343">
        <v>3000</v>
      </c>
      <c r="Q31" s="341">
        <v>261.60000000000002</v>
      </c>
      <c r="R31" s="341">
        <v>2377.0999999999995</v>
      </c>
      <c r="S31" s="342">
        <v>5638.6999999999989</v>
      </c>
      <c r="T31" s="342">
        <v>14.5</v>
      </c>
      <c r="U31" s="282">
        <f t="shared" si="9"/>
        <v>5653.1999999999989</v>
      </c>
      <c r="V31" s="343">
        <v>6000</v>
      </c>
      <c r="W31" s="341">
        <v>300</v>
      </c>
      <c r="X31" s="341">
        <v>3500</v>
      </c>
      <c r="Y31" s="342">
        <f t="shared" si="10"/>
        <v>9800</v>
      </c>
      <c r="Z31" s="342">
        <v>400</v>
      </c>
      <c r="AA31" s="282">
        <f t="shared" si="11"/>
        <v>10200</v>
      </c>
      <c r="AB31" s="283">
        <f t="shared" si="6"/>
        <v>1.0408163265306123</v>
      </c>
      <c r="AC31" s="505"/>
      <c r="AD31" s="4"/>
    </row>
    <row r="32" spans="1:30" x14ac:dyDescent="0.25">
      <c r="A32" s="4"/>
      <c r="B32" s="284" t="s">
        <v>26</v>
      </c>
      <c r="C32" s="299" t="s">
        <v>18</v>
      </c>
      <c r="D32" s="174">
        <v>19000</v>
      </c>
      <c r="E32" s="341">
        <v>210.7</v>
      </c>
      <c r="F32" s="341">
        <f>30223.2-19000-210.7</f>
        <v>11012.5</v>
      </c>
      <c r="G32" s="342">
        <f t="shared" si="7"/>
        <v>30223.200000000001</v>
      </c>
      <c r="H32" s="342">
        <v>1933.5</v>
      </c>
      <c r="I32" s="282">
        <f t="shared" si="8"/>
        <v>32156.7</v>
      </c>
      <c r="J32" s="506">
        <v>18100</v>
      </c>
      <c r="K32" s="341">
        <v>500</v>
      </c>
      <c r="L32" s="341">
        <v>17200</v>
      </c>
      <c r="M32" s="342">
        <v>35800</v>
      </c>
      <c r="N32" s="342">
        <v>630</v>
      </c>
      <c r="O32" s="282">
        <v>36430</v>
      </c>
      <c r="P32" s="506">
        <v>9000</v>
      </c>
      <c r="Q32" s="341">
        <v>126</v>
      </c>
      <c r="R32" s="341">
        <v>6768.5</v>
      </c>
      <c r="S32" s="342">
        <v>15894.5</v>
      </c>
      <c r="T32" s="342">
        <v>346.8</v>
      </c>
      <c r="U32" s="282">
        <f t="shared" si="9"/>
        <v>16241.3</v>
      </c>
      <c r="V32" s="506">
        <f>V33+V34</f>
        <v>18700</v>
      </c>
      <c r="W32" s="506">
        <f t="shared" ref="W32" si="12">W33+W34</f>
        <v>200</v>
      </c>
      <c r="X32" s="506">
        <f>X33+X34</f>
        <v>18226</v>
      </c>
      <c r="Y32" s="342">
        <f t="shared" si="10"/>
        <v>37126</v>
      </c>
      <c r="Z32" s="342">
        <f>SUM(Z33:Z34)</f>
        <v>1560</v>
      </c>
      <c r="AA32" s="282">
        <f t="shared" si="11"/>
        <v>38686</v>
      </c>
      <c r="AB32" s="283">
        <f t="shared" si="6"/>
        <v>1.0619269832555587</v>
      </c>
      <c r="AC32" s="505"/>
      <c r="AD32" s="4"/>
    </row>
    <row r="33" spans="1:30" x14ac:dyDescent="0.25">
      <c r="A33" s="4"/>
      <c r="B33" s="284" t="s">
        <v>28</v>
      </c>
      <c r="C33" s="295" t="s">
        <v>42</v>
      </c>
      <c r="D33" s="174">
        <v>15000</v>
      </c>
      <c r="E33" s="341">
        <f>176+34.7</f>
        <v>210.7</v>
      </c>
      <c r="F33" s="341">
        <f>25573.5-15000-210.7-819.1</f>
        <v>9543.6999999999989</v>
      </c>
      <c r="G33" s="342">
        <f>D33+E33+F33</f>
        <v>24754.400000000001</v>
      </c>
      <c r="H33" s="342">
        <v>1031.2</v>
      </c>
      <c r="I33" s="282">
        <f t="shared" si="8"/>
        <v>25785.600000000002</v>
      </c>
      <c r="J33" s="506">
        <v>15600</v>
      </c>
      <c r="K33" s="341">
        <v>500</v>
      </c>
      <c r="L33" s="341">
        <v>14900</v>
      </c>
      <c r="M33" s="342">
        <v>31000</v>
      </c>
      <c r="N33" s="342">
        <v>500</v>
      </c>
      <c r="O33" s="282">
        <v>31500</v>
      </c>
      <c r="P33" s="506">
        <v>8000</v>
      </c>
      <c r="Q33" s="341">
        <v>126</v>
      </c>
      <c r="R33" s="341">
        <v>4632</v>
      </c>
      <c r="S33" s="342">
        <v>12758</v>
      </c>
      <c r="T33" s="342">
        <v>303.60000000000002</v>
      </c>
      <c r="U33" s="282">
        <f t="shared" si="9"/>
        <v>13061.6</v>
      </c>
      <c r="V33" s="506">
        <v>16400</v>
      </c>
      <c r="W33" s="341">
        <v>200</v>
      </c>
      <c r="X33" s="341">
        <v>15926</v>
      </c>
      <c r="Y33" s="342">
        <v>32526</v>
      </c>
      <c r="Z33" s="342">
        <v>1400</v>
      </c>
      <c r="AA33" s="282">
        <f t="shared" si="11"/>
        <v>33926</v>
      </c>
      <c r="AB33" s="283">
        <f t="shared" si="6"/>
        <v>1.077015873015873</v>
      </c>
      <c r="AC33" s="505"/>
      <c r="AD33" s="4"/>
    </row>
    <row r="34" spans="1:30" x14ac:dyDescent="0.25">
      <c r="A34" s="4"/>
      <c r="B34" s="284" t="s">
        <v>30</v>
      </c>
      <c r="C34" s="349" t="s">
        <v>21</v>
      </c>
      <c r="D34" s="174">
        <v>4000</v>
      </c>
      <c r="E34" s="341"/>
      <c r="F34" s="341">
        <v>1468.8</v>
      </c>
      <c r="G34" s="342">
        <f t="shared" si="7"/>
        <v>5468.8</v>
      </c>
      <c r="H34" s="342">
        <v>902.3</v>
      </c>
      <c r="I34" s="282">
        <f t="shared" si="8"/>
        <v>6371.1</v>
      </c>
      <c r="J34" s="506">
        <v>2500</v>
      </c>
      <c r="K34" s="341"/>
      <c r="L34" s="341">
        <v>2300</v>
      </c>
      <c r="M34" s="342">
        <v>4800</v>
      </c>
      <c r="N34" s="342">
        <v>130</v>
      </c>
      <c r="O34" s="282">
        <v>4930</v>
      </c>
      <c r="P34" s="506">
        <v>1000</v>
      </c>
      <c r="Q34" s="341"/>
      <c r="R34" s="341">
        <v>2136.5</v>
      </c>
      <c r="S34" s="342">
        <v>3136.5</v>
      </c>
      <c r="T34" s="342">
        <v>43.3</v>
      </c>
      <c r="U34" s="282">
        <f t="shared" si="9"/>
        <v>3179.8</v>
      </c>
      <c r="V34" s="506">
        <v>2300</v>
      </c>
      <c r="W34" s="341"/>
      <c r="X34" s="341">
        <v>2300</v>
      </c>
      <c r="Y34" s="342">
        <f t="shared" si="10"/>
        <v>4600</v>
      </c>
      <c r="Z34" s="342">
        <v>160</v>
      </c>
      <c r="AA34" s="282">
        <f t="shared" si="11"/>
        <v>4760</v>
      </c>
      <c r="AB34" s="283">
        <f t="shared" si="6"/>
        <v>0.96551724137931039</v>
      </c>
      <c r="AC34" s="505"/>
      <c r="AD34" s="4"/>
    </row>
    <row r="35" spans="1:30" x14ac:dyDescent="0.25">
      <c r="A35" s="4"/>
      <c r="B35" s="284" t="s">
        <v>32</v>
      </c>
      <c r="C35" s="299" t="s">
        <v>23</v>
      </c>
      <c r="D35" s="174">
        <v>5000</v>
      </c>
      <c r="E35" s="341"/>
      <c r="F35" s="341">
        <f>9375.6-5000</f>
        <v>4375.6000000000004</v>
      </c>
      <c r="G35" s="342">
        <f t="shared" si="7"/>
        <v>9375.6</v>
      </c>
      <c r="H35" s="342">
        <v>611.6</v>
      </c>
      <c r="I35" s="282">
        <f t="shared" si="8"/>
        <v>9987.2000000000007</v>
      </c>
      <c r="J35" s="346">
        <v>5310</v>
      </c>
      <c r="K35" s="341"/>
      <c r="L35" s="341">
        <v>5590</v>
      </c>
      <c r="M35" s="342">
        <v>10900</v>
      </c>
      <c r="N35" s="342">
        <v>180</v>
      </c>
      <c r="O35" s="282">
        <v>11080</v>
      </c>
      <c r="P35" s="506">
        <v>2500</v>
      </c>
      <c r="Q35" s="341"/>
      <c r="R35" s="341">
        <v>2510.5</v>
      </c>
      <c r="S35" s="342">
        <v>5010.5</v>
      </c>
      <c r="T35" s="342">
        <v>108.6</v>
      </c>
      <c r="U35" s="282">
        <f t="shared" si="9"/>
        <v>5119.1000000000004</v>
      </c>
      <c r="V35" s="346">
        <v>6000</v>
      </c>
      <c r="W35" s="341"/>
      <c r="X35" s="341">
        <v>5560</v>
      </c>
      <c r="Y35" s="342">
        <f t="shared" si="10"/>
        <v>11560</v>
      </c>
      <c r="Z35" s="342">
        <v>480</v>
      </c>
      <c r="AA35" s="282">
        <f t="shared" si="11"/>
        <v>12040</v>
      </c>
      <c r="AB35" s="283">
        <f t="shared" si="6"/>
        <v>1.0866425992779782</v>
      </c>
      <c r="AC35" s="505"/>
      <c r="AD35" s="4"/>
    </row>
    <row r="36" spans="1:30" x14ac:dyDescent="0.25">
      <c r="A36" s="4"/>
      <c r="B36" s="284" t="s">
        <v>33</v>
      </c>
      <c r="C36" s="299" t="s">
        <v>25</v>
      </c>
      <c r="D36" s="341" t="s">
        <v>87</v>
      </c>
      <c r="E36" s="341"/>
      <c r="F36" s="341">
        <v>16.5</v>
      </c>
      <c r="G36" s="342">
        <v>16.5</v>
      </c>
      <c r="H36" s="342"/>
      <c r="I36" s="282">
        <f t="shared" si="8"/>
        <v>16.5</v>
      </c>
      <c r="J36" s="343"/>
      <c r="K36" s="341"/>
      <c r="L36" s="341">
        <v>50</v>
      </c>
      <c r="M36" s="342">
        <v>50</v>
      </c>
      <c r="N36" s="342"/>
      <c r="O36" s="282">
        <v>50</v>
      </c>
      <c r="P36" s="343"/>
      <c r="Q36" s="341"/>
      <c r="R36" s="341"/>
      <c r="S36" s="342">
        <v>0</v>
      </c>
      <c r="T36" s="342">
        <v>0</v>
      </c>
      <c r="U36" s="282">
        <f t="shared" si="9"/>
        <v>0</v>
      </c>
      <c r="V36" s="343"/>
      <c r="W36" s="341"/>
      <c r="X36" s="341">
        <v>50</v>
      </c>
      <c r="Y36" s="342">
        <f t="shared" si="10"/>
        <v>50</v>
      </c>
      <c r="Z36" s="342"/>
      <c r="AA36" s="282">
        <f t="shared" si="11"/>
        <v>50</v>
      </c>
      <c r="AB36" s="283">
        <f t="shared" si="6"/>
        <v>1</v>
      </c>
      <c r="AC36" s="505"/>
      <c r="AD36" s="4"/>
    </row>
    <row r="37" spans="1:30" x14ac:dyDescent="0.25">
      <c r="A37" s="4"/>
      <c r="B37" s="284" t="s">
        <v>34</v>
      </c>
      <c r="C37" s="299" t="s">
        <v>27</v>
      </c>
      <c r="D37" s="341">
        <f>8464-1446.2</f>
        <v>7017.8</v>
      </c>
      <c r="E37" s="341"/>
      <c r="F37" s="341">
        <v>1446.2</v>
      </c>
      <c r="G37" s="342">
        <f t="shared" si="7"/>
        <v>8464</v>
      </c>
      <c r="H37" s="342">
        <v>1534.5</v>
      </c>
      <c r="I37" s="282">
        <f t="shared" si="8"/>
        <v>9998.5</v>
      </c>
      <c r="J37" s="343">
        <v>7040</v>
      </c>
      <c r="K37" s="341"/>
      <c r="L37" s="341">
        <v>1500</v>
      </c>
      <c r="M37" s="342">
        <v>8540</v>
      </c>
      <c r="N37" s="342">
        <v>1500</v>
      </c>
      <c r="O37" s="282">
        <v>10040</v>
      </c>
      <c r="P37" s="343">
        <v>3558.8999999999996</v>
      </c>
      <c r="Q37" s="341"/>
      <c r="R37" s="341">
        <v>718</v>
      </c>
      <c r="S37" s="342">
        <v>4276.8999999999996</v>
      </c>
      <c r="T37" s="342">
        <v>746</v>
      </c>
      <c r="U37" s="282">
        <f t="shared" si="9"/>
        <v>5022.8999999999996</v>
      </c>
      <c r="V37" s="343">
        <v>7447</v>
      </c>
      <c r="W37" s="341"/>
      <c r="X37" s="341">
        <v>1300</v>
      </c>
      <c r="Y37" s="342">
        <f t="shared" si="10"/>
        <v>8747</v>
      </c>
      <c r="Z37" s="342">
        <v>1700</v>
      </c>
      <c r="AA37" s="282">
        <f t="shared" si="11"/>
        <v>10447</v>
      </c>
      <c r="AB37" s="283">
        <f t="shared" si="6"/>
        <v>1.0405378486055776</v>
      </c>
      <c r="AC37" s="505"/>
      <c r="AD37" s="4"/>
    </row>
    <row r="38" spans="1:30" ht="15.75" thickBot="1" x14ac:dyDescent="0.3">
      <c r="A38" s="4"/>
      <c r="B38" s="502" t="s">
        <v>35</v>
      </c>
      <c r="C38" s="350" t="s">
        <v>29</v>
      </c>
      <c r="D38" s="351">
        <f>2000-34.9</f>
        <v>1965.1</v>
      </c>
      <c r="E38" s="351">
        <v>807.4</v>
      </c>
      <c r="F38" s="351">
        <f>(291.1+35+51.9+81+1349.7+16.5+0.003+995.3+503.3+21.9+97.3)-1965.1-807.5+0.2-16.5</f>
        <v>654.10300000000029</v>
      </c>
      <c r="G38" s="342">
        <f>SUM(D38:F38)</f>
        <v>3426.6030000000001</v>
      </c>
      <c r="H38" s="352">
        <f>2590.7+5.8+1.7+41.3+331.4+32.6+44.3+13.6</f>
        <v>3061.4</v>
      </c>
      <c r="I38" s="308">
        <f t="shared" si="8"/>
        <v>6488.0030000000006</v>
      </c>
      <c r="J38" s="353">
        <v>1350</v>
      </c>
      <c r="K38" s="351"/>
      <c r="L38" s="351">
        <v>2000</v>
      </c>
      <c r="M38" s="352">
        <v>3350</v>
      </c>
      <c r="N38" s="352">
        <v>2680</v>
      </c>
      <c r="O38" s="308">
        <v>6030</v>
      </c>
      <c r="P38" s="353">
        <v>741.1</v>
      </c>
      <c r="Q38" s="351"/>
      <c r="R38" s="351">
        <v>1424.9999999999995</v>
      </c>
      <c r="S38" s="352">
        <v>2166.0999999999995</v>
      </c>
      <c r="T38" s="352">
        <v>1425.5</v>
      </c>
      <c r="U38" s="308">
        <f t="shared" si="9"/>
        <v>3591.5999999999995</v>
      </c>
      <c r="V38" s="353">
        <v>953</v>
      </c>
      <c r="W38" s="351"/>
      <c r="X38" s="351">
        <v>2750</v>
      </c>
      <c r="Y38" s="342">
        <f t="shared" si="10"/>
        <v>3703</v>
      </c>
      <c r="Z38" s="352">
        <v>2374</v>
      </c>
      <c r="AA38" s="282">
        <f t="shared" si="11"/>
        <v>6077</v>
      </c>
      <c r="AB38" s="309">
        <f t="shared" si="6"/>
        <v>1.0077943615257048</v>
      </c>
      <c r="AC38" s="505"/>
      <c r="AD38" s="4"/>
    </row>
    <row r="39" spans="1:30" ht="15.75" thickBot="1" x14ac:dyDescent="0.3">
      <c r="A39" s="4"/>
      <c r="B39" s="310" t="s">
        <v>48</v>
      </c>
      <c r="C39" s="354" t="s">
        <v>31</v>
      </c>
      <c r="D39" s="355">
        <f>SUM(D35:D38)+SUM(D28:D32)</f>
        <v>47982.9</v>
      </c>
      <c r="E39" s="355">
        <f>SUM(E35:E38)+SUM(E28:E32)</f>
        <v>1572.5</v>
      </c>
      <c r="F39" s="355">
        <f>SUM(F35:F38)+SUM(F28:F32)</f>
        <v>33104.703000000001</v>
      </c>
      <c r="G39" s="356">
        <f>SUM(D39:F39)</f>
        <v>82660.103000000003</v>
      </c>
      <c r="H39" s="357">
        <f>SUM(H28:H32)+SUM(H35:H38)</f>
        <v>9034.1</v>
      </c>
      <c r="I39" s="358">
        <f>SUM(I35:I38)+SUM(I28:I32)</f>
        <v>91694.203000000009</v>
      </c>
      <c r="J39" s="355">
        <f>SUM(J35:J38)+SUM(J28:J32)</f>
        <v>51600</v>
      </c>
      <c r="K39" s="355">
        <f>SUM(K35:K38)+SUM(K28:K32)</f>
        <v>1100</v>
      </c>
      <c r="L39" s="355">
        <f>SUM(L35:L38)+SUM(L28:L32)</f>
        <v>37840</v>
      </c>
      <c r="M39" s="356">
        <f>SUM(J39:L39)</f>
        <v>90540</v>
      </c>
      <c r="N39" s="357">
        <f>SUM(N28:N32)+SUM(N35:N38)</f>
        <v>6240</v>
      </c>
      <c r="O39" s="358">
        <f>SUM(O35:O38)+SUM(O28:O32)</f>
        <v>96780</v>
      </c>
      <c r="P39" s="355">
        <f>SUM(P35:P38)+SUM(P28:P32)</f>
        <v>25800</v>
      </c>
      <c r="Q39" s="355">
        <f>SUM(Q35:Q38)+SUM(Q28:Q32)</f>
        <v>664.90000000000009</v>
      </c>
      <c r="R39" s="355">
        <f>SUM(R35:R38)+SUM(R28:R32)</f>
        <v>19112.399999999998</v>
      </c>
      <c r="S39" s="356">
        <f>SUM(P39:R39)</f>
        <v>45577.3</v>
      </c>
      <c r="T39" s="357">
        <f>SUM(T28:T32)+SUM(T35:T38)</f>
        <v>2695.6</v>
      </c>
      <c r="U39" s="358">
        <f>SUM(U35:U38)+SUM(U28:U32)</f>
        <v>48272.9</v>
      </c>
      <c r="V39" s="355">
        <f>SUM(V35:V38)+SUM(V28:V32)</f>
        <v>54300</v>
      </c>
      <c r="W39" s="355">
        <f>SUM(W35:W38)+SUM(W28:W32)</f>
        <v>1100</v>
      </c>
      <c r="X39" s="355">
        <f>X38+X37+X36+X35+X32+X31+X30+X29+X28</f>
        <v>38386</v>
      </c>
      <c r="Y39" s="356">
        <f>Y28+Y29+Y30+Y31+Y32+Y35+Y36+Y37+Y38</f>
        <v>93786</v>
      </c>
      <c r="Z39" s="357">
        <f>SUM(Z28:Z32)+SUM(Z35:Z38)</f>
        <v>7914</v>
      </c>
      <c r="AA39" s="358">
        <f>SUM(AA35:AA38)+SUM(AA28:AA32)</f>
        <v>101700</v>
      </c>
      <c r="AB39" s="359">
        <f t="shared" si="6"/>
        <v>1.050836949783013</v>
      </c>
      <c r="AC39" s="4"/>
      <c r="AD39" s="4"/>
    </row>
    <row r="40" spans="1:30" ht="19.5" thickBot="1" x14ac:dyDescent="0.35">
      <c r="A40" s="4"/>
      <c r="B40" s="360" t="s">
        <v>49</v>
      </c>
      <c r="C40" s="361" t="s">
        <v>51</v>
      </c>
      <c r="D40" s="362">
        <f t="shared" ref="D40:AA40" si="13">D24-D39</f>
        <v>0</v>
      </c>
      <c r="E40" s="362">
        <f t="shared" si="13"/>
        <v>0</v>
      </c>
      <c r="F40" s="362">
        <f t="shared" si="13"/>
        <v>-7.8029999999998836</v>
      </c>
      <c r="G40" s="363">
        <f t="shared" si="13"/>
        <v>-7.8029999999998836</v>
      </c>
      <c r="H40" s="363">
        <f t="shared" si="13"/>
        <v>461.5</v>
      </c>
      <c r="I40" s="364">
        <f t="shared" si="13"/>
        <v>453.69699999998556</v>
      </c>
      <c r="J40" s="362">
        <f t="shared" si="13"/>
        <v>0</v>
      </c>
      <c r="K40" s="362">
        <f t="shared" si="13"/>
        <v>0</v>
      </c>
      <c r="L40" s="362">
        <f t="shared" si="13"/>
        <v>-1890</v>
      </c>
      <c r="M40" s="363">
        <f t="shared" si="13"/>
        <v>-1890</v>
      </c>
      <c r="N40" s="363">
        <f t="shared" si="13"/>
        <v>1890</v>
      </c>
      <c r="O40" s="364">
        <f t="shared" si="13"/>
        <v>0</v>
      </c>
      <c r="P40" s="362">
        <f t="shared" si="13"/>
        <v>0</v>
      </c>
      <c r="Q40" s="362">
        <f t="shared" si="13"/>
        <v>0</v>
      </c>
      <c r="R40" s="362">
        <f t="shared" si="13"/>
        <v>509.20000000000073</v>
      </c>
      <c r="S40" s="363">
        <f t="shared" si="13"/>
        <v>509.19999999999709</v>
      </c>
      <c r="T40" s="363">
        <f t="shared" si="13"/>
        <v>2272.9</v>
      </c>
      <c r="U40" s="364">
        <f t="shared" si="13"/>
        <v>2782.0999999999985</v>
      </c>
      <c r="V40" s="362">
        <f t="shared" si="13"/>
        <v>0</v>
      </c>
      <c r="W40" s="362">
        <f t="shared" si="13"/>
        <v>0</v>
      </c>
      <c r="X40" s="362">
        <f t="shared" si="13"/>
        <v>-586</v>
      </c>
      <c r="Y40" s="363">
        <f t="shared" si="13"/>
        <v>-586</v>
      </c>
      <c r="Z40" s="363">
        <f t="shared" si="13"/>
        <v>586</v>
      </c>
      <c r="AA40" s="364">
        <f t="shared" si="13"/>
        <v>0</v>
      </c>
      <c r="AB40" s="365" t="e">
        <f t="shared" si="6"/>
        <v>#DIV/0!</v>
      </c>
      <c r="AC40" s="4"/>
      <c r="AD40" s="4"/>
    </row>
    <row r="41" spans="1:30" ht="15.75" thickBot="1" x14ac:dyDescent="0.3">
      <c r="A41" s="4"/>
      <c r="B41" s="366" t="s">
        <v>50</v>
      </c>
      <c r="C41" s="367" t="s">
        <v>65</v>
      </c>
      <c r="D41" s="368"/>
      <c r="E41" s="369"/>
      <c r="F41" s="369"/>
      <c r="G41" s="370"/>
      <c r="H41" s="371"/>
      <c r="I41" s="372">
        <f>I40-D16</f>
        <v>-47529.203000000016</v>
      </c>
      <c r="J41" s="368"/>
      <c r="K41" s="369"/>
      <c r="L41" s="369"/>
      <c r="M41" s="370"/>
      <c r="N41" s="373"/>
      <c r="O41" s="372">
        <f>O40-J16</f>
        <v>-51600</v>
      </c>
      <c r="P41" s="368"/>
      <c r="Q41" s="369"/>
      <c r="R41" s="369"/>
      <c r="S41" s="370"/>
      <c r="T41" s="373"/>
      <c r="U41" s="372">
        <f>U40-P16</f>
        <v>-23017.9</v>
      </c>
      <c r="V41" s="368"/>
      <c r="W41" s="369"/>
      <c r="X41" s="369"/>
      <c r="Y41" s="370"/>
      <c r="Z41" s="373"/>
      <c r="AA41" s="372">
        <f>AA40-V16</f>
        <v>-54300</v>
      </c>
      <c r="AB41" s="283">
        <f t="shared" si="6"/>
        <v>1.0523255813953489</v>
      </c>
      <c r="AC41" s="4"/>
      <c r="AD41" s="4"/>
    </row>
    <row r="42" spans="1:30" ht="8.25" customHeight="1" thickBot="1" x14ac:dyDescent="0.3">
      <c r="A42" s="4"/>
      <c r="B42" s="374"/>
      <c r="C42" s="375"/>
      <c r="D42" s="376"/>
      <c r="E42" s="377"/>
      <c r="F42" s="377"/>
      <c r="G42" s="4"/>
      <c r="H42" s="377"/>
      <c r="I42" s="377"/>
      <c r="J42" s="376"/>
      <c r="K42" s="377"/>
      <c r="L42" s="377"/>
      <c r="M42" s="4"/>
      <c r="N42" s="377"/>
      <c r="O42" s="377"/>
      <c r="P42" s="377"/>
      <c r="Q42" s="377"/>
      <c r="R42" s="377"/>
      <c r="S42" s="377"/>
      <c r="T42" s="377"/>
      <c r="U42" s="377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thickBot="1" x14ac:dyDescent="0.3">
      <c r="A43" s="4"/>
      <c r="B43" s="374"/>
      <c r="C43" s="378" t="s">
        <v>82</v>
      </c>
      <c r="D43" s="106" t="s">
        <v>41</v>
      </c>
      <c r="E43" s="379" t="s">
        <v>83</v>
      </c>
      <c r="F43" s="380" t="s">
        <v>36</v>
      </c>
      <c r="G43" s="377"/>
      <c r="H43" s="377"/>
      <c r="I43" s="381"/>
      <c r="J43" s="106" t="s">
        <v>41</v>
      </c>
      <c r="K43" s="379" t="s">
        <v>83</v>
      </c>
      <c r="L43" s="380" t="s">
        <v>36</v>
      </c>
      <c r="M43" s="377"/>
      <c r="N43" s="377"/>
      <c r="O43" s="377"/>
      <c r="P43" s="106" t="s">
        <v>41</v>
      </c>
      <c r="Q43" s="379" t="s">
        <v>83</v>
      </c>
      <c r="R43" s="380" t="s">
        <v>36</v>
      </c>
      <c r="S43" s="4"/>
      <c r="T43" s="4"/>
      <c r="U43" s="4"/>
      <c r="V43" s="106" t="s">
        <v>41</v>
      </c>
      <c r="W43" s="379" t="s">
        <v>83</v>
      </c>
      <c r="X43" s="380" t="s">
        <v>36</v>
      </c>
      <c r="Y43" s="4"/>
      <c r="Z43" s="4"/>
      <c r="AA43" s="4"/>
      <c r="AB43" s="4"/>
      <c r="AC43" s="4"/>
      <c r="AD43" s="4"/>
    </row>
    <row r="44" spans="1:30" ht="15.75" thickBot="1" x14ac:dyDescent="0.3">
      <c r="A44" s="4"/>
      <c r="B44" s="374"/>
      <c r="C44" s="382"/>
      <c r="D44" s="383"/>
      <c r="E44" s="384"/>
      <c r="F44" s="385">
        <v>0</v>
      </c>
      <c r="G44" s="377"/>
      <c r="H44" s="377"/>
      <c r="I44" s="381"/>
      <c r="J44" s="383"/>
      <c r="K44" s="384"/>
      <c r="L44" s="385">
        <v>0</v>
      </c>
      <c r="M44" s="386"/>
      <c r="N44" s="386"/>
      <c r="O44" s="386"/>
      <c r="P44" s="383"/>
      <c r="Q44" s="384"/>
      <c r="R44" s="385">
        <v>0</v>
      </c>
      <c r="S44" s="4"/>
      <c r="T44" s="4"/>
      <c r="U44" s="4"/>
      <c r="V44" s="383"/>
      <c r="W44" s="384"/>
      <c r="X44" s="385">
        <v>0</v>
      </c>
      <c r="Y44" s="4"/>
      <c r="Z44" s="4"/>
      <c r="AA44" s="4"/>
      <c r="AB44" s="4"/>
      <c r="AC44" s="4"/>
      <c r="AD44" s="4"/>
    </row>
    <row r="45" spans="1:30" ht="8.25" customHeight="1" thickBot="1" x14ac:dyDescent="0.3">
      <c r="A45" s="4"/>
      <c r="B45" s="374"/>
      <c r="C45" s="375"/>
      <c r="D45" s="386"/>
      <c r="E45" s="377"/>
      <c r="F45" s="377"/>
      <c r="G45" s="377"/>
      <c r="H45" s="377"/>
      <c r="I45" s="381"/>
      <c r="J45" s="377"/>
      <c r="K45" s="377"/>
      <c r="L45" s="377"/>
      <c r="M45" s="377"/>
      <c r="N45" s="377"/>
      <c r="O45" s="381"/>
      <c r="P45" s="381"/>
      <c r="Q45" s="381"/>
      <c r="R45" s="381"/>
      <c r="S45" s="381"/>
      <c r="T45" s="381"/>
      <c r="U45" s="381"/>
      <c r="V45" s="4"/>
      <c r="W45" s="4"/>
      <c r="X45" s="4"/>
      <c r="Y45" s="4"/>
      <c r="Z45" s="4"/>
      <c r="AA45" s="4"/>
      <c r="AB45" s="4"/>
      <c r="AC45" s="4"/>
      <c r="AD45" s="4"/>
    </row>
    <row r="46" spans="1:30" ht="37.5" customHeight="1" thickBot="1" x14ac:dyDescent="0.3">
      <c r="A46" s="4"/>
      <c r="B46" s="374"/>
      <c r="C46" s="378" t="s">
        <v>85</v>
      </c>
      <c r="D46" s="95" t="s">
        <v>86</v>
      </c>
      <c r="E46" s="387" t="s">
        <v>84</v>
      </c>
      <c r="F46" s="377"/>
      <c r="G46" s="377"/>
      <c r="H46" s="377"/>
      <c r="I46" s="381"/>
      <c r="J46" s="95" t="s">
        <v>86</v>
      </c>
      <c r="K46" s="387" t="s">
        <v>84</v>
      </c>
      <c r="L46" s="388"/>
      <c r="M46" s="388"/>
      <c r="N46" s="4"/>
      <c r="O46" s="4"/>
      <c r="P46" s="95" t="s">
        <v>86</v>
      </c>
      <c r="Q46" s="387" t="s">
        <v>84</v>
      </c>
      <c r="R46" s="4"/>
      <c r="S46" s="4"/>
      <c r="T46" s="4"/>
      <c r="U46" s="4"/>
      <c r="V46" s="95" t="s">
        <v>86</v>
      </c>
      <c r="W46" s="387" t="s">
        <v>84</v>
      </c>
      <c r="X46" s="4"/>
      <c r="Y46" s="4"/>
      <c r="Z46" s="4"/>
      <c r="AA46" s="4"/>
      <c r="AB46" s="4"/>
      <c r="AC46" s="4"/>
      <c r="AD46" s="4"/>
    </row>
    <row r="47" spans="1:30" ht="15.75" thickBot="1" x14ac:dyDescent="0.3">
      <c r="A47" s="4"/>
      <c r="B47" s="389"/>
      <c r="C47" s="390"/>
      <c r="D47" s="383">
        <v>6114.5</v>
      </c>
      <c r="E47" s="391">
        <v>176.4</v>
      </c>
      <c r="F47" s="377"/>
      <c r="G47" s="377"/>
      <c r="H47" s="377"/>
      <c r="I47" s="381"/>
      <c r="J47" s="383">
        <v>5000</v>
      </c>
      <c r="K47" s="391">
        <v>0</v>
      </c>
      <c r="L47" s="392"/>
      <c r="M47" s="392"/>
      <c r="N47" s="4"/>
      <c r="O47" s="4"/>
      <c r="P47" s="383">
        <v>5000</v>
      </c>
      <c r="Q47" s="391">
        <v>0</v>
      </c>
      <c r="R47" s="4"/>
      <c r="S47" s="4"/>
      <c r="T47" s="4"/>
      <c r="U47" s="4"/>
      <c r="V47" s="383">
        <v>10000</v>
      </c>
      <c r="W47" s="391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4"/>
      <c r="B48" s="389"/>
      <c r="C48" s="375"/>
      <c r="D48" s="377"/>
      <c r="E48" s="377"/>
      <c r="F48" s="377"/>
      <c r="G48" s="377"/>
      <c r="H48" s="377"/>
      <c r="I48" s="381"/>
      <c r="J48" s="377"/>
      <c r="K48" s="377"/>
      <c r="L48" s="377"/>
      <c r="M48" s="377"/>
      <c r="N48" s="377"/>
      <c r="O48" s="381"/>
      <c r="P48" s="381"/>
      <c r="Q48" s="381"/>
      <c r="R48" s="381"/>
      <c r="S48" s="381"/>
      <c r="T48" s="381"/>
      <c r="U48" s="381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4"/>
      <c r="B49" s="389"/>
      <c r="C49" s="393" t="s">
        <v>81</v>
      </c>
      <c r="D49" s="394" t="s">
        <v>72</v>
      </c>
      <c r="E49" s="394" t="s">
        <v>73</v>
      </c>
      <c r="F49" s="394" t="s">
        <v>91</v>
      </c>
      <c r="G49" s="394" t="s">
        <v>93</v>
      </c>
      <c r="H49" s="377"/>
      <c r="I49" s="4"/>
      <c r="J49" s="394" t="s">
        <v>72</v>
      </c>
      <c r="K49" s="394" t="s">
        <v>73</v>
      </c>
      <c r="L49" s="394" t="s">
        <v>91</v>
      </c>
      <c r="M49" s="394" t="s">
        <v>94</v>
      </c>
      <c r="N49" s="4"/>
      <c r="O49" s="4"/>
      <c r="P49" s="394" t="s">
        <v>72</v>
      </c>
      <c r="Q49" s="394" t="s">
        <v>73</v>
      </c>
      <c r="R49" s="394" t="s">
        <v>91</v>
      </c>
      <c r="S49" s="394" t="s">
        <v>94</v>
      </c>
      <c r="T49" s="4"/>
      <c r="U49" s="4"/>
      <c r="V49" s="394" t="s">
        <v>95</v>
      </c>
      <c r="W49" s="394" t="s">
        <v>73</v>
      </c>
      <c r="X49" s="394" t="s">
        <v>91</v>
      </c>
      <c r="Y49" s="394" t="s">
        <v>94</v>
      </c>
      <c r="Z49" s="4"/>
      <c r="AA49" s="4"/>
      <c r="AB49" s="4"/>
      <c r="AC49" s="4"/>
      <c r="AD49" s="4"/>
    </row>
    <row r="50" spans="1:30" x14ac:dyDescent="0.25">
      <c r="A50" s="4"/>
      <c r="B50" s="389"/>
      <c r="C50" s="395" t="s">
        <v>117</v>
      </c>
      <c r="D50" s="396"/>
      <c r="E50" s="396"/>
      <c r="F50" s="396"/>
      <c r="G50" s="397">
        <f>SUM(G51:G54)</f>
        <v>26284.692999999999</v>
      </c>
      <c r="H50" s="377"/>
      <c r="I50" s="4"/>
      <c r="J50" s="396"/>
      <c r="K50" s="396"/>
      <c r="L50" s="396"/>
      <c r="M50" s="397">
        <f>SUM(M51:M54)</f>
        <v>29300</v>
      </c>
      <c r="N50" s="4"/>
      <c r="O50" s="4"/>
      <c r="P50" s="397"/>
      <c r="Q50" s="396"/>
      <c r="R50" s="396"/>
      <c r="S50" s="397">
        <f>SUM(S51:S54)</f>
        <v>33095.93</v>
      </c>
      <c r="T50" s="4"/>
      <c r="U50" s="4"/>
      <c r="V50" s="396"/>
      <c r="W50" s="396"/>
      <c r="X50" s="396"/>
      <c r="Y50" s="397">
        <f>SUM(Y51:Y54)</f>
        <v>11370</v>
      </c>
      <c r="Z50" s="4"/>
      <c r="AA50" s="4"/>
      <c r="AB50" s="4"/>
      <c r="AC50" s="4"/>
      <c r="AD50" s="4"/>
    </row>
    <row r="51" spans="1:30" x14ac:dyDescent="0.25">
      <c r="A51" s="4"/>
      <c r="B51" s="389"/>
      <c r="C51" s="395" t="s">
        <v>70</v>
      </c>
      <c r="D51" s="396">
        <v>2885.3</v>
      </c>
      <c r="E51" s="396">
        <f>299.866+47.512+155.705+9</f>
        <v>512.08299999999997</v>
      </c>
      <c r="F51" s="396"/>
      <c r="G51" s="397">
        <f t="shared" ref="G51:G53" si="14">D51+E51-F51</f>
        <v>3397.3830000000003</v>
      </c>
      <c r="H51" s="377"/>
      <c r="I51" s="4"/>
      <c r="J51" s="397">
        <v>6500</v>
      </c>
      <c r="K51" s="396">
        <v>2000</v>
      </c>
      <c r="L51" s="396">
        <v>2200</v>
      </c>
      <c r="M51" s="397">
        <v>6300</v>
      </c>
      <c r="N51" s="4"/>
      <c r="O51" s="4"/>
      <c r="P51" s="396">
        <v>6115.4</v>
      </c>
      <c r="Q51" s="396">
        <v>522.20000000000005</v>
      </c>
      <c r="R51" s="396"/>
      <c r="S51" s="397">
        <v>6637.5999999999995</v>
      </c>
      <c r="T51" s="4"/>
      <c r="U51" s="4"/>
      <c r="V51" s="396">
        <v>7000</v>
      </c>
      <c r="W51" s="396"/>
      <c r="X51" s="396">
        <v>1500</v>
      </c>
      <c r="Y51" s="397">
        <f t="shared" ref="Y51:Y54" si="15">V51+W51-X51</f>
        <v>5500</v>
      </c>
      <c r="Z51" s="4"/>
      <c r="AA51" s="4"/>
      <c r="AB51" s="4"/>
      <c r="AC51" s="4"/>
      <c r="AD51" s="4"/>
    </row>
    <row r="52" spans="1:30" x14ac:dyDescent="0.25">
      <c r="A52" s="4"/>
      <c r="B52" s="389"/>
      <c r="C52" s="395" t="s">
        <v>71</v>
      </c>
      <c r="D52" s="396">
        <v>14830.4</v>
      </c>
      <c r="E52" s="396">
        <v>16343.1</v>
      </c>
      <c r="F52" s="396">
        <v>9500.7000000000007</v>
      </c>
      <c r="G52" s="397">
        <f t="shared" si="14"/>
        <v>21672.799999999999</v>
      </c>
      <c r="H52" s="377"/>
      <c r="I52" s="4"/>
      <c r="J52" s="397">
        <v>24000</v>
      </c>
      <c r="K52" s="396">
        <v>17500</v>
      </c>
      <c r="L52" s="396">
        <v>20000</v>
      </c>
      <c r="M52" s="397">
        <v>21500</v>
      </c>
      <c r="N52" s="4"/>
      <c r="O52" s="4"/>
      <c r="P52" s="396">
        <v>21672.799999999999</v>
      </c>
      <c r="Q52" s="396">
        <v>4292.7</v>
      </c>
      <c r="R52" s="396">
        <v>836.7</v>
      </c>
      <c r="S52" s="397">
        <v>25128.799999999999</v>
      </c>
      <c r="T52" s="4"/>
      <c r="U52" s="4"/>
      <c r="V52" s="396">
        <v>27000</v>
      </c>
      <c r="W52" s="396">
        <v>20500</v>
      </c>
      <c r="X52" s="396">
        <v>43000</v>
      </c>
      <c r="Y52" s="397">
        <f t="shared" si="15"/>
        <v>4500</v>
      </c>
      <c r="Z52" s="4"/>
      <c r="AA52" s="4"/>
      <c r="AB52" s="4"/>
      <c r="AC52" s="4"/>
      <c r="AD52" s="4"/>
    </row>
    <row r="53" spans="1:30" x14ac:dyDescent="0.25">
      <c r="A53" s="4"/>
      <c r="B53" s="389"/>
      <c r="C53" s="395" t="s">
        <v>88</v>
      </c>
      <c r="D53" s="396">
        <v>600</v>
      </c>
      <c r="E53" s="396"/>
      <c r="F53" s="396"/>
      <c r="G53" s="397">
        <f t="shared" si="14"/>
        <v>600</v>
      </c>
      <c r="H53" s="377"/>
      <c r="I53" s="4"/>
      <c r="J53" s="397">
        <v>600</v>
      </c>
      <c r="K53" s="396">
        <v>0</v>
      </c>
      <c r="L53" s="396">
        <v>0</v>
      </c>
      <c r="M53" s="397">
        <v>600</v>
      </c>
      <c r="N53" s="4"/>
      <c r="O53" s="4"/>
      <c r="P53" s="396">
        <v>600</v>
      </c>
      <c r="Q53" s="396">
        <v>90</v>
      </c>
      <c r="R53" s="396">
        <v>0</v>
      </c>
      <c r="S53" s="397">
        <v>690</v>
      </c>
      <c r="T53" s="4"/>
      <c r="U53" s="4"/>
      <c r="V53" s="396">
        <v>690</v>
      </c>
      <c r="W53" s="396"/>
      <c r="X53" s="396"/>
      <c r="Y53" s="397">
        <f t="shared" si="15"/>
        <v>690</v>
      </c>
      <c r="Z53" s="4"/>
      <c r="AA53" s="4"/>
      <c r="AB53" s="4"/>
      <c r="AC53" s="4"/>
      <c r="AD53" s="4"/>
    </row>
    <row r="54" spans="1:30" x14ac:dyDescent="0.25">
      <c r="A54" s="4"/>
      <c r="B54" s="389"/>
      <c r="C54" s="398" t="s">
        <v>89</v>
      </c>
      <c r="D54" s="396">
        <v>717.673</v>
      </c>
      <c r="E54" s="396">
        <v>532.09400000000005</v>
      </c>
      <c r="F54" s="396">
        <f>263.76+210.826+60.2+100.471</f>
        <v>635.25700000000006</v>
      </c>
      <c r="G54" s="397">
        <f>D54+E54-F54</f>
        <v>614.51</v>
      </c>
      <c r="H54" s="377"/>
      <c r="I54" s="4"/>
      <c r="J54" s="397">
        <v>750</v>
      </c>
      <c r="K54" s="396">
        <v>650</v>
      </c>
      <c r="L54" s="396">
        <v>500</v>
      </c>
      <c r="M54" s="397">
        <v>900</v>
      </c>
      <c r="N54" s="4"/>
      <c r="O54" s="4"/>
      <c r="P54" s="396">
        <v>614.5</v>
      </c>
      <c r="Q54" s="396">
        <v>239</v>
      </c>
      <c r="R54" s="396">
        <v>213.97</v>
      </c>
      <c r="S54" s="397">
        <v>639.53</v>
      </c>
      <c r="T54" s="4"/>
      <c r="U54" s="4"/>
      <c r="V54" s="396">
        <v>600</v>
      </c>
      <c r="W54" s="396">
        <v>680</v>
      </c>
      <c r="X54" s="396">
        <v>600</v>
      </c>
      <c r="Y54" s="397">
        <f t="shared" si="15"/>
        <v>680</v>
      </c>
      <c r="Z54" s="4"/>
      <c r="AA54" s="4"/>
      <c r="AB54" s="4"/>
      <c r="AC54" s="4"/>
      <c r="AD54" s="4"/>
    </row>
    <row r="55" spans="1:30" ht="10.5" customHeight="1" x14ac:dyDescent="0.25">
      <c r="A55" s="4"/>
      <c r="B55" s="389"/>
      <c r="C55" s="375"/>
      <c r="D55" s="377"/>
      <c r="E55" s="377"/>
      <c r="F55" s="377"/>
      <c r="G55" s="377"/>
      <c r="H55" s="37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4"/>
      <c r="B56" s="389"/>
      <c r="C56" s="393" t="s">
        <v>74</v>
      </c>
      <c r="D56" s="394" t="s">
        <v>75</v>
      </c>
      <c r="E56" s="394" t="s">
        <v>96</v>
      </c>
      <c r="F56" s="377"/>
      <c r="G56" s="377"/>
      <c r="H56" s="377"/>
      <c r="I56" s="381"/>
      <c r="J56" s="394" t="s">
        <v>97</v>
      </c>
      <c r="K56" s="377"/>
      <c r="L56" s="377"/>
      <c r="M56" s="377"/>
      <c r="N56" s="377"/>
      <c r="O56" s="381"/>
      <c r="P56" s="394" t="s">
        <v>98</v>
      </c>
      <c r="Q56" s="381"/>
      <c r="R56" s="381"/>
      <c r="S56" s="381"/>
      <c r="T56" s="381"/>
      <c r="U56" s="381"/>
      <c r="V56" s="394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4"/>
      <c r="B57" s="389"/>
      <c r="C57" s="395"/>
      <c r="D57" s="399">
        <v>64</v>
      </c>
      <c r="E57" s="399">
        <v>71.5</v>
      </c>
      <c r="F57" s="377"/>
      <c r="G57" s="377"/>
      <c r="H57" s="377"/>
      <c r="I57" s="381"/>
      <c r="J57" s="399">
        <v>85</v>
      </c>
      <c r="K57" s="377"/>
      <c r="L57" s="377"/>
      <c r="M57" s="377"/>
      <c r="N57" s="377"/>
      <c r="O57" s="381"/>
      <c r="P57" s="399">
        <v>83.5</v>
      </c>
      <c r="Q57" s="381"/>
      <c r="R57" s="381"/>
      <c r="S57" s="381"/>
      <c r="T57" s="381"/>
      <c r="U57" s="381"/>
      <c r="V57" s="507">
        <v>87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4"/>
      <c r="B58" s="389"/>
      <c r="C58" s="375"/>
      <c r="D58" s="377"/>
      <c r="E58" s="377"/>
      <c r="F58" s="377"/>
      <c r="G58" s="377"/>
      <c r="H58" s="377"/>
      <c r="I58" s="381"/>
      <c r="J58" s="377"/>
      <c r="K58" s="377"/>
      <c r="L58" s="377"/>
      <c r="M58" s="377"/>
      <c r="N58" s="377"/>
      <c r="O58" s="381"/>
      <c r="P58" s="381"/>
      <c r="Q58" s="381"/>
      <c r="R58" s="381"/>
      <c r="S58" s="381"/>
      <c r="T58" s="381"/>
      <c r="U58" s="381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4"/>
      <c r="B59" s="400" t="s">
        <v>92</v>
      </c>
      <c r="C59" s="401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3"/>
      <c r="W59" s="403"/>
      <c r="X59" s="403"/>
      <c r="Y59" s="403"/>
      <c r="Z59" s="403"/>
      <c r="AA59" s="403"/>
      <c r="AB59" s="404"/>
      <c r="AC59" s="4"/>
      <c r="AD59" s="4"/>
    </row>
    <row r="60" spans="1:30" x14ac:dyDescent="0.25">
      <c r="A60" s="4"/>
      <c r="B60" s="508"/>
      <c r="C60" s="509" t="s">
        <v>171</v>
      </c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0"/>
      <c r="P60" s="510"/>
      <c r="Q60" s="510"/>
      <c r="R60" s="510"/>
      <c r="S60" s="510"/>
      <c r="T60" s="510"/>
      <c r="U60" s="510"/>
      <c r="AB60" s="407"/>
      <c r="AC60" s="4"/>
      <c r="AD60" s="4"/>
    </row>
    <row r="61" spans="1:30" x14ac:dyDescent="0.25">
      <c r="A61" s="4"/>
      <c r="B61" s="511" t="s">
        <v>57</v>
      </c>
      <c r="M61"/>
      <c r="AB61" s="407"/>
      <c r="AC61" s="4"/>
      <c r="AD61" s="4"/>
    </row>
    <row r="62" spans="1:30" x14ac:dyDescent="0.25">
      <c r="A62" s="4"/>
      <c r="B62" s="512" t="s">
        <v>172</v>
      </c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AB62" s="407"/>
      <c r="AC62" s="4"/>
      <c r="AD62" s="4"/>
    </row>
    <row r="63" spans="1:30" x14ac:dyDescent="0.25">
      <c r="A63" s="4"/>
      <c r="B63" s="512" t="s">
        <v>173</v>
      </c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AB63" s="407"/>
      <c r="AC63" s="4"/>
      <c r="AD63" s="4"/>
    </row>
    <row r="64" spans="1:30" x14ac:dyDescent="0.25">
      <c r="A64" s="4"/>
      <c r="B64" s="512" t="s">
        <v>174</v>
      </c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AB64" s="407"/>
      <c r="AC64" s="4"/>
      <c r="AD64" s="4"/>
    </row>
    <row r="65" spans="1:30" x14ac:dyDescent="0.25">
      <c r="A65" s="4"/>
      <c r="B65" s="513" t="s">
        <v>175</v>
      </c>
      <c r="C65" s="514"/>
      <c r="D65" s="514"/>
      <c r="E65" s="514"/>
      <c r="F65" s="514"/>
      <c r="G65" s="514"/>
      <c r="H65" s="514"/>
      <c r="I65" s="514"/>
      <c r="J65" s="514"/>
      <c r="K65" s="514"/>
      <c r="L65" s="514"/>
      <c r="M65" s="514"/>
      <c r="N65" s="514"/>
      <c r="O65" s="514"/>
      <c r="P65" s="514"/>
      <c r="Q65" s="514"/>
      <c r="R65" s="514"/>
      <c r="S65" s="514"/>
      <c r="T65" s="514"/>
      <c r="U65" s="514"/>
      <c r="AB65" s="407"/>
      <c r="AC65" s="4"/>
      <c r="AD65" s="4"/>
    </row>
    <row r="66" spans="1:30" x14ac:dyDescent="0.25">
      <c r="A66" s="4"/>
      <c r="B66" s="513" t="s">
        <v>176</v>
      </c>
      <c r="C66" s="514"/>
      <c r="D66" s="514"/>
      <c r="E66" s="514"/>
      <c r="F66" s="514"/>
      <c r="G66" s="514"/>
      <c r="H66" s="514"/>
      <c r="I66" s="514"/>
      <c r="J66" s="514"/>
      <c r="K66" s="514"/>
      <c r="L66" s="514"/>
      <c r="M66" s="514"/>
      <c r="N66" s="514"/>
      <c r="O66" s="514"/>
      <c r="P66" s="514"/>
      <c r="Q66" s="514"/>
      <c r="R66" s="514"/>
      <c r="S66" s="514"/>
      <c r="T66" s="514"/>
      <c r="U66" s="514"/>
      <c r="AB66" s="407"/>
      <c r="AC66" s="4"/>
      <c r="AD66" s="4"/>
    </row>
    <row r="67" spans="1:30" x14ac:dyDescent="0.25">
      <c r="A67" s="4"/>
      <c r="B67" s="513" t="s">
        <v>177</v>
      </c>
      <c r="C67" s="514"/>
      <c r="D67" s="514"/>
      <c r="E67" s="514"/>
      <c r="F67" s="514"/>
      <c r="G67" s="514"/>
      <c r="H67" s="514"/>
      <c r="I67" s="514"/>
      <c r="J67" s="514"/>
      <c r="K67" s="514"/>
      <c r="L67" s="514"/>
      <c r="M67" s="514"/>
      <c r="N67" s="514"/>
      <c r="O67" s="514"/>
      <c r="P67" s="514"/>
      <c r="Q67" s="514"/>
      <c r="R67" s="514"/>
      <c r="S67" s="514"/>
      <c r="T67" s="514"/>
      <c r="U67" s="514"/>
      <c r="AB67" s="407"/>
      <c r="AC67" s="4"/>
      <c r="AD67" s="4"/>
    </row>
    <row r="68" spans="1:30" x14ac:dyDescent="0.25">
      <c r="A68" s="4"/>
      <c r="B68" s="41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AB68" s="407"/>
      <c r="AC68" s="4"/>
      <c r="AD68" s="4"/>
    </row>
    <row r="69" spans="1:30" x14ac:dyDescent="0.25">
      <c r="A69" s="4"/>
      <c r="B69" s="410" t="s">
        <v>178</v>
      </c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AB69" s="407"/>
      <c r="AC69" s="4"/>
      <c r="AD69" s="4"/>
    </row>
    <row r="70" spans="1:30" x14ac:dyDescent="0.25">
      <c r="A70" s="4"/>
      <c r="B70" s="410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AB70" s="407"/>
      <c r="AC70" s="4"/>
      <c r="AD70" s="4"/>
    </row>
    <row r="71" spans="1:30" x14ac:dyDescent="0.25">
      <c r="A71" s="4"/>
      <c r="B71" s="513" t="s">
        <v>179</v>
      </c>
      <c r="C71" s="514"/>
      <c r="D71" s="514"/>
      <c r="E71" s="514"/>
      <c r="F71" s="514"/>
      <c r="G71" s="514"/>
      <c r="H71" s="514"/>
      <c r="I71" s="514"/>
      <c r="J71" s="514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AB71" s="407"/>
      <c r="AC71" s="4"/>
      <c r="AD71" s="4"/>
    </row>
    <row r="72" spans="1:30" x14ac:dyDescent="0.25">
      <c r="A72" s="4"/>
      <c r="B72" s="513" t="s">
        <v>180</v>
      </c>
      <c r="C72" s="514"/>
      <c r="D72" s="514"/>
      <c r="E72" s="514"/>
      <c r="F72" s="514"/>
      <c r="G72" s="514"/>
      <c r="H72" s="514"/>
      <c r="I72" s="514"/>
      <c r="J72" s="514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AB72" s="407"/>
      <c r="AC72" s="4"/>
      <c r="AD72" s="4"/>
    </row>
    <row r="73" spans="1:30" x14ac:dyDescent="0.25">
      <c r="A73" s="4"/>
      <c r="B73" s="513" t="s">
        <v>181</v>
      </c>
      <c r="C73" s="514"/>
      <c r="D73" s="514"/>
      <c r="E73" s="514"/>
      <c r="F73" s="514"/>
      <c r="G73" s="514"/>
      <c r="H73" s="514"/>
      <c r="I73" s="514"/>
      <c r="J73" s="514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AB73" s="407"/>
      <c r="AC73" s="4"/>
      <c r="AD73" s="4"/>
    </row>
    <row r="74" spans="1:30" x14ac:dyDescent="0.25">
      <c r="A74" s="4"/>
      <c r="B74" s="513" t="s">
        <v>182</v>
      </c>
      <c r="C74" s="514"/>
      <c r="D74" s="514"/>
      <c r="E74" s="514"/>
      <c r="F74" s="514"/>
      <c r="G74" s="514"/>
      <c r="H74" s="514"/>
      <c r="I74" s="514"/>
      <c r="J74" s="514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AB74" s="407"/>
      <c r="AC74" s="4"/>
      <c r="AD74" s="4"/>
    </row>
    <row r="75" spans="1:30" x14ac:dyDescent="0.25">
      <c r="A75" s="4"/>
      <c r="B75" s="513" t="s">
        <v>183</v>
      </c>
      <c r="C75" s="514"/>
      <c r="D75" s="514"/>
      <c r="E75" s="514"/>
      <c r="F75" s="514"/>
      <c r="G75" s="514"/>
      <c r="H75" s="514"/>
      <c r="I75" s="514"/>
      <c r="J75" s="514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AB75" s="407"/>
      <c r="AC75" s="4"/>
      <c r="AD75" s="4"/>
    </row>
    <row r="76" spans="1:30" x14ac:dyDescent="0.25">
      <c r="A76" s="4"/>
      <c r="B76" s="410" t="s">
        <v>87</v>
      </c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AB76" s="407"/>
      <c r="AC76" s="4"/>
      <c r="AD76" s="4"/>
    </row>
    <row r="77" spans="1:30" x14ac:dyDescent="0.25">
      <c r="A77" s="4"/>
      <c r="B77" s="410"/>
      <c r="C77" s="240" t="s">
        <v>184</v>
      </c>
      <c r="D77" s="240"/>
      <c r="E77" s="240"/>
      <c r="F77" s="240"/>
      <c r="G77" s="240"/>
      <c r="H77" s="240"/>
      <c r="I77" s="240"/>
      <c r="J77" s="240"/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AB77" s="407"/>
      <c r="AC77" s="4"/>
      <c r="AD77" s="4"/>
    </row>
    <row r="78" spans="1:30" x14ac:dyDescent="0.25">
      <c r="A78" s="4"/>
      <c r="B78" s="41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AB78" s="407"/>
      <c r="AC78" s="4"/>
      <c r="AD78" s="4"/>
    </row>
    <row r="79" spans="1:30" x14ac:dyDescent="0.25">
      <c r="A79" s="4"/>
      <c r="B79" s="513" t="s">
        <v>185</v>
      </c>
      <c r="C79" s="514"/>
      <c r="D79" s="514"/>
      <c r="E79" s="514"/>
      <c r="F79" s="514"/>
      <c r="G79" s="514"/>
      <c r="H79" s="514"/>
      <c r="I79" s="514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AB79" s="407"/>
      <c r="AC79" s="4"/>
      <c r="AD79" s="4"/>
    </row>
    <row r="80" spans="1:30" x14ac:dyDescent="0.25">
      <c r="A80" s="4"/>
      <c r="B80" s="513" t="s">
        <v>186</v>
      </c>
      <c r="C80" s="514"/>
      <c r="D80" s="514"/>
      <c r="E80" s="514"/>
      <c r="F80" s="514"/>
      <c r="G80" s="514"/>
      <c r="H80" s="514"/>
      <c r="I80" s="514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AB80" s="407"/>
      <c r="AC80" s="4"/>
      <c r="AD80" s="4"/>
    </row>
    <row r="81" spans="1:30" x14ac:dyDescent="0.25">
      <c r="A81" s="4"/>
      <c r="B81" s="513" t="s">
        <v>187</v>
      </c>
      <c r="C81" s="514"/>
      <c r="D81" s="514"/>
      <c r="E81" s="514"/>
      <c r="F81" s="514"/>
      <c r="G81" s="514"/>
      <c r="H81" s="514"/>
      <c r="I81" s="514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AB81" s="407"/>
      <c r="AC81" s="4"/>
      <c r="AD81" s="4"/>
    </row>
    <row r="82" spans="1:30" x14ac:dyDescent="0.25">
      <c r="A82" s="4"/>
      <c r="B82" s="41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AB82" s="407"/>
      <c r="AC82" s="4"/>
      <c r="AD82" s="4"/>
    </row>
    <row r="83" spans="1:30" x14ac:dyDescent="0.25">
      <c r="A83" s="4"/>
      <c r="B83" s="410"/>
      <c r="C83" s="240" t="s">
        <v>188</v>
      </c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AB83" s="407"/>
      <c r="AC83" s="4"/>
      <c r="AD83" s="4"/>
    </row>
    <row r="84" spans="1:30" x14ac:dyDescent="0.25">
      <c r="A84" s="4"/>
      <c r="B84" s="512" t="s">
        <v>189</v>
      </c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AB84" s="407"/>
      <c r="AC84" s="4"/>
      <c r="AD84" s="4"/>
    </row>
    <row r="85" spans="1:30" x14ac:dyDescent="0.25">
      <c r="A85" s="4"/>
      <c r="B85" s="513" t="s">
        <v>190</v>
      </c>
      <c r="C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4"/>
      <c r="Q85" s="514"/>
      <c r="R85" s="514"/>
      <c r="S85" s="514"/>
      <c r="T85" s="514"/>
      <c r="U85" s="514"/>
      <c r="AB85" s="407"/>
      <c r="AC85" s="4"/>
      <c r="AD85" s="4"/>
    </row>
    <row r="86" spans="1:30" x14ac:dyDescent="0.25">
      <c r="A86" s="4"/>
      <c r="B86" s="513" t="s">
        <v>191</v>
      </c>
      <c r="C86" s="514"/>
      <c r="D86" s="412"/>
      <c r="E86" s="412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4"/>
      <c r="Q86" s="514"/>
      <c r="R86" s="514"/>
      <c r="S86" s="514"/>
      <c r="T86" s="514"/>
      <c r="U86" s="514"/>
      <c r="AB86" s="407"/>
      <c r="AC86" s="4"/>
      <c r="AD86" s="4"/>
    </row>
    <row r="87" spans="1:30" x14ac:dyDescent="0.25">
      <c r="A87" s="4"/>
      <c r="B87" s="513" t="s">
        <v>192</v>
      </c>
      <c r="C87" s="514"/>
      <c r="D87" s="412"/>
      <c r="E87" s="412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AB87" s="407"/>
      <c r="AC87" s="4"/>
      <c r="AD87" s="4"/>
    </row>
    <row r="88" spans="1:30" x14ac:dyDescent="0.25">
      <c r="A88" s="4"/>
      <c r="B88" s="410"/>
      <c r="C88" s="240"/>
      <c r="D88" s="412"/>
      <c r="E88" s="412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AB88" s="407"/>
      <c r="AC88" s="4"/>
      <c r="AD88" s="4"/>
    </row>
    <row r="89" spans="1:30" x14ac:dyDescent="0.25">
      <c r="A89" s="4"/>
      <c r="B89" s="410"/>
      <c r="C89" s="240" t="s">
        <v>193</v>
      </c>
      <c r="D89" s="412"/>
      <c r="E89" s="412"/>
      <c r="F89" s="240"/>
      <c r="G89" s="240"/>
      <c r="H89" s="240"/>
      <c r="I89" s="240"/>
      <c r="J89" s="240"/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AB89" s="407"/>
      <c r="AC89" s="4"/>
      <c r="AD89" s="4"/>
    </row>
    <row r="90" spans="1:30" x14ac:dyDescent="0.25">
      <c r="A90" s="4"/>
      <c r="B90" s="410" t="s">
        <v>194</v>
      </c>
      <c r="C90" s="240"/>
      <c r="D90" s="412"/>
      <c r="E90" s="412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AB90" s="407"/>
      <c r="AC90" s="4"/>
      <c r="AD90" s="4"/>
    </row>
    <row r="91" spans="1:30" x14ac:dyDescent="0.25">
      <c r="A91" s="4"/>
      <c r="B91" s="410" t="s">
        <v>195</v>
      </c>
      <c r="C91" s="240"/>
      <c r="D91" s="412"/>
      <c r="E91" s="412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AB91" s="407"/>
      <c r="AC91" s="4"/>
      <c r="AD91" s="4"/>
    </row>
    <row r="92" spans="1:30" x14ac:dyDescent="0.25">
      <c r="A92" s="4"/>
      <c r="B92" s="411"/>
      <c r="D92" s="412"/>
      <c r="E92" s="412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AB92" s="407"/>
      <c r="AC92" s="4"/>
      <c r="AD92" s="4"/>
    </row>
    <row r="93" spans="1:30" x14ac:dyDescent="0.25">
      <c r="A93" s="4"/>
      <c r="B93" s="414"/>
      <c r="C93" s="416"/>
      <c r="D93" s="416"/>
      <c r="E93" s="416"/>
      <c r="F93" s="417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06"/>
      <c r="W93" s="406"/>
      <c r="X93" s="406"/>
      <c r="Y93" s="406"/>
      <c r="Z93" s="406"/>
      <c r="AA93" s="406"/>
      <c r="AB93" s="418"/>
      <c r="AC93" s="4"/>
      <c r="AD93" s="4"/>
    </row>
    <row r="94" spans="1:30" x14ac:dyDescent="0.25">
      <c r="A94" s="4"/>
      <c r="B94" s="419"/>
      <c r="C94" s="420"/>
      <c r="D94" s="422" t="s">
        <v>76</v>
      </c>
      <c r="E94" s="409" t="s">
        <v>196</v>
      </c>
      <c r="F94" s="409"/>
      <c r="G94" s="409"/>
      <c r="H94" s="422"/>
      <c r="I94" s="422" t="s">
        <v>77</v>
      </c>
      <c r="J94" s="424" t="s">
        <v>197</v>
      </c>
      <c r="K94" s="424"/>
      <c r="L94" s="424"/>
      <c r="M94" s="424"/>
      <c r="N94" s="422"/>
      <c r="O94" s="422"/>
      <c r="P94" s="422"/>
      <c r="Q94" s="422"/>
      <c r="R94" s="422"/>
      <c r="S94" s="422"/>
      <c r="T94" s="422"/>
      <c r="U94" s="422"/>
      <c r="V94" s="4"/>
      <c r="W94" s="4"/>
      <c r="X94" s="4"/>
      <c r="Y94" s="4"/>
      <c r="Z94" s="4"/>
      <c r="AA94" s="4"/>
      <c r="AB94" s="4"/>
      <c r="AC94" s="4"/>
      <c r="AD94" s="4"/>
    </row>
    <row r="95" spans="1:30" ht="7.5" customHeight="1" x14ac:dyDescent="0.25">
      <c r="A95" s="4"/>
      <c r="B95" s="419"/>
      <c r="C95" s="420"/>
      <c r="D95" s="422"/>
      <c r="E95" s="422"/>
      <c r="F95" s="422"/>
      <c r="G95" s="422"/>
      <c r="H95" s="422"/>
      <c r="I95" s="422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4"/>
      <c r="B96" s="422"/>
      <c r="C96" s="422"/>
      <c r="D96" s="422" t="s">
        <v>79</v>
      </c>
      <c r="E96" s="425"/>
      <c r="F96" s="425"/>
      <c r="G96" s="425"/>
      <c r="H96" s="422"/>
      <c r="I96" s="422" t="s">
        <v>79</v>
      </c>
      <c r="J96" s="426"/>
      <c r="K96" s="426"/>
      <c r="L96" s="426"/>
      <c r="M96" s="426"/>
      <c r="N96" s="422"/>
      <c r="O96" s="422"/>
      <c r="P96" s="422"/>
      <c r="Q96" s="422"/>
      <c r="R96" s="422"/>
      <c r="S96" s="422"/>
      <c r="T96" s="422"/>
      <c r="U96" s="422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25">
      <c r="A97" s="4"/>
      <c r="B97" s="422" t="s">
        <v>80</v>
      </c>
      <c r="C97" s="423">
        <v>45189</v>
      </c>
      <c r="D97" s="422"/>
      <c r="E97" s="425"/>
      <c r="F97" s="425"/>
      <c r="G97" s="425"/>
      <c r="H97" s="422"/>
      <c r="I97" s="422"/>
      <c r="J97" s="426"/>
      <c r="K97" s="426"/>
      <c r="L97" s="426"/>
      <c r="M97" s="426"/>
      <c r="N97" s="422"/>
      <c r="O97" s="422"/>
      <c r="P97" s="422"/>
      <c r="Q97" s="422"/>
      <c r="R97" s="422"/>
      <c r="S97" s="422"/>
      <c r="T97" s="422"/>
      <c r="U97" s="422"/>
      <c r="V97" s="4"/>
      <c r="W97" s="4"/>
      <c r="X97" s="4"/>
      <c r="Y97" s="4"/>
      <c r="Z97" s="4"/>
      <c r="AA97" s="4"/>
      <c r="AB97" s="4"/>
      <c r="AC97" s="4"/>
      <c r="AD97" s="4"/>
    </row>
    <row r="98" spans="1:30" x14ac:dyDescent="0.25">
      <c r="A98" s="4"/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"/>
      <c r="W98" s="4"/>
      <c r="X98" s="4"/>
      <c r="Y98" s="4"/>
      <c r="Z98" s="4"/>
      <c r="AA98" s="4"/>
      <c r="AB98" s="4"/>
      <c r="AC98" s="4"/>
      <c r="AD98" s="4"/>
    </row>
    <row r="99" spans="1:30" x14ac:dyDescent="0.25">
      <c r="A99" s="4"/>
      <c r="B99" s="422"/>
      <c r="C99" s="422"/>
      <c r="D99" s="422"/>
      <c r="E99" s="422"/>
      <c r="F99" s="422"/>
      <c r="G99" s="422"/>
      <c r="H99" s="422"/>
      <c r="I99" s="422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"/>
      <c r="W99" s="4"/>
      <c r="X99" s="4"/>
      <c r="Y99" s="4"/>
      <c r="Z99" s="4"/>
      <c r="AA99" s="4"/>
      <c r="AB99" s="4"/>
      <c r="AC99" s="4"/>
      <c r="AD99" s="4"/>
    </row>
    <row r="100" spans="1:30" hidden="1" x14ac:dyDescent="0.25">
      <c r="B100" s="422"/>
      <c r="C100" s="422"/>
    </row>
    <row r="101" spans="1:30" hidden="1" x14ac:dyDescent="0.25">
      <c r="B101" s="422"/>
      <c r="C101" s="422"/>
    </row>
    <row r="102" spans="1:30" hidden="1" x14ac:dyDescent="0.25">
      <c r="B102" s="422"/>
      <c r="C102" s="422"/>
    </row>
    <row r="112" spans="1:30" x14ac:dyDescent="0.25"/>
    <row r="113" x14ac:dyDescent="0.25"/>
    <row r="114" x14ac:dyDescent="0.25"/>
    <row r="115" x14ac:dyDescent="0.25"/>
    <row r="116" ht="15" hidden="1" customHeight="1" x14ac:dyDescent="0.25"/>
    <row r="128" x14ac:dyDescent="0.25"/>
    <row r="129" x14ac:dyDescent="0.25"/>
    <row r="130" ht="15" hidden="1" customHeight="1" x14ac:dyDescent="0.25"/>
    <row r="131" ht="15" hidden="1" customHeight="1" x14ac:dyDescent="0.25"/>
    <row r="135" x14ac:dyDescent="0.25"/>
    <row r="136" x14ac:dyDescent="0.25"/>
    <row r="137" x14ac:dyDescent="0.25"/>
    <row r="138" x14ac:dyDescent="0.25"/>
  </sheetData>
  <mergeCells count="65">
    <mergeCell ref="B63:U63"/>
    <mergeCell ref="B64:U64"/>
    <mergeCell ref="B84:U84"/>
    <mergeCell ref="E94:G94"/>
    <mergeCell ref="J94:M94"/>
    <mergeCell ref="Z26:Z27"/>
    <mergeCell ref="AA26:AA27"/>
    <mergeCell ref="C43:C44"/>
    <mergeCell ref="C46:C47"/>
    <mergeCell ref="D59:U59"/>
    <mergeCell ref="B62:U62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55" priority="3" operator="equal">
      <formula>0</formula>
    </cfRule>
    <cfRule type="containsErrors" dxfId="54" priority="4">
      <formula>ISERROR(AB15)</formula>
    </cfRule>
  </conditionalFormatting>
  <conditionalFormatting sqref="AB28:AB41">
    <cfRule type="cellIs" dxfId="53" priority="1" operator="equal">
      <formula>0</formula>
    </cfRule>
    <cfRule type="containsErrors" dxfId="52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80" zoomScaleNormal="80" zoomScaleSheetLayoutView="8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C92" sqref="C9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2.57031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263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264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46789677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429" t="s">
        <v>265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2021.3</v>
      </c>
      <c r="G15" s="63">
        <f>SUM(D15:F15)</f>
        <v>2021.3</v>
      </c>
      <c r="H15" s="66">
        <v>5.5</v>
      </c>
      <c r="I15" s="14">
        <f>G15+H15</f>
        <v>2026.8</v>
      </c>
      <c r="J15" s="430"/>
      <c r="K15" s="431"/>
      <c r="L15" s="432">
        <v>2200</v>
      </c>
      <c r="M15" s="433">
        <f t="shared" ref="M15:M23" si="0">SUM(J15:L15)</f>
        <v>2200</v>
      </c>
      <c r="N15" s="434"/>
      <c r="O15" s="435">
        <f>M15+N15</f>
        <v>2200</v>
      </c>
      <c r="P15" s="12"/>
      <c r="Q15" s="13"/>
      <c r="R15" s="436">
        <v>989.18200000000002</v>
      </c>
      <c r="S15" s="63">
        <f>SUM(P15:R15)</f>
        <v>989.18200000000002</v>
      </c>
      <c r="T15" s="66">
        <v>3.835</v>
      </c>
      <c r="U15" s="14">
        <f>S15+T15</f>
        <v>993.01700000000005</v>
      </c>
      <c r="V15" s="12"/>
      <c r="W15" s="13"/>
      <c r="X15" s="56">
        <v>2300</v>
      </c>
      <c r="Y15" s="63">
        <f>SUM(V15:X15)</f>
        <v>2300</v>
      </c>
      <c r="Z15" s="66">
        <v>10</v>
      </c>
      <c r="AA15" s="14">
        <f>Y15+Z15</f>
        <v>2310</v>
      </c>
      <c r="AB15" s="147">
        <f>(AA15/O15)</f>
        <v>1.05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6810</v>
      </c>
      <c r="E16" s="16"/>
      <c r="F16" s="16"/>
      <c r="G16" s="64">
        <f t="shared" ref="G16:G23" si="1">SUM(D16:F16)</f>
        <v>6810</v>
      </c>
      <c r="H16" s="67"/>
      <c r="I16" s="14">
        <f t="shared" ref="I16:I23" si="2">G16+H16</f>
        <v>6810</v>
      </c>
      <c r="J16" s="437">
        <v>7859</v>
      </c>
      <c r="K16" s="438"/>
      <c r="L16" s="438"/>
      <c r="M16" s="439">
        <f t="shared" si="0"/>
        <v>7859</v>
      </c>
      <c r="N16" s="440"/>
      <c r="O16" s="435">
        <f t="shared" ref="O16:O20" si="3">M16+N16</f>
        <v>7859</v>
      </c>
      <c r="P16" s="57">
        <v>3929.6</v>
      </c>
      <c r="Q16" s="441"/>
      <c r="R16" s="16"/>
      <c r="S16" s="64">
        <f t="shared" ref="S16:S23" si="4">SUM(P16:R16)</f>
        <v>3929.6</v>
      </c>
      <c r="T16" s="67"/>
      <c r="U16" s="14">
        <f t="shared" ref="U16:U20" si="5">S16+T16</f>
        <v>3929.6</v>
      </c>
      <c r="V16" s="57">
        <v>8185.2</v>
      </c>
      <c r="W16" s="16"/>
      <c r="X16" s="16"/>
      <c r="Y16" s="64">
        <f t="shared" ref="Y16:Y23" si="6">SUM(V16:X16)</f>
        <v>8185.2</v>
      </c>
      <c r="Z16" s="67"/>
      <c r="AA16" s="14">
        <f t="shared" ref="AA16:AA20" si="7">Y16+Z16</f>
        <v>8185.2</v>
      </c>
      <c r="AB16" s="147">
        <f t="shared" ref="AB16:AB24" si="8">(AA16/O16)</f>
        <v>1.0415065529965644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>
        <v>508.2</v>
      </c>
      <c r="E17" s="17"/>
      <c r="F17" s="17"/>
      <c r="G17" s="64">
        <f t="shared" si="1"/>
        <v>508.2</v>
      </c>
      <c r="H17" s="68"/>
      <c r="I17" s="14">
        <f t="shared" si="2"/>
        <v>508.2</v>
      </c>
      <c r="J17" s="442">
        <v>523.1</v>
      </c>
      <c r="K17" s="443"/>
      <c r="L17" s="443"/>
      <c r="M17" s="439">
        <f t="shared" si="0"/>
        <v>523.1</v>
      </c>
      <c r="N17" s="444"/>
      <c r="O17" s="435">
        <f t="shared" si="3"/>
        <v>523.1</v>
      </c>
      <c r="P17" s="58">
        <v>190.15</v>
      </c>
      <c r="Q17" s="17"/>
      <c r="R17" s="17"/>
      <c r="S17" s="64">
        <f t="shared" si="4"/>
        <v>190.15</v>
      </c>
      <c r="T17" s="68"/>
      <c r="U17" s="14">
        <f t="shared" si="5"/>
        <v>190.15</v>
      </c>
      <c r="V17" s="58">
        <f>196+241.1+46.4+50.2+437.6</f>
        <v>971.30000000000007</v>
      </c>
      <c r="W17" s="17"/>
      <c r="X17" s="17"/>
      <c r="Y17" s="64">
        <f t="shared" si="6"/>
        <v>971.30000000000007</v>
      </c>
      <c r="Z17" s="68"/>
      <c r="AA17" s="14">
        <f t="shared" si="7"/>
        <v>971.30000000000007</v>
      </c>
      <c r="AB17" s="147">
        <f t="shared" si="8"/>
        <v>1.8568151405085069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60148.33</v>
      </c>
      <c r="F18" s="17"/>
      <c r="G18" s="64">
        <f t="shared" si="1"/>
        <v>60148.33</v>
      </c>
      <c r="H18" s="66"/>
      <c r="I18" s="14">
        <f t="shared" si="2"/>
        <v>60148.33</v>
      </c>
      <c r="J18" s="445"/>
      <c r="K18" s="446">
        <v>61581</v>
      </c>
      <c r="L18" s="443"/>
      <c r="M18" s="439">
        <f t="shared" si="0"/>
        <v>61581</v>
      </c>
      <c r="N18" s="434"/>
      <c r="O18" s="435">
        <f t="shared" si="3"/>
        <v>61581</v>
      </c>
      <c r="P18" s="18"/>
      <c r="Q18" s="59">
        <v>29452.112000000001</v>
      </c>
      <c r="R18" s="17"/>
      <c r="S18" s="64">
        <f t="shared" si="4"/>
        <v>29452.112000000001</v>
      </c>
      <c r="T18" s="66"/>
      <c r="U18" s="14">
        <f t="shared" si="5"/>
        <v>29452.112000000001</v>
      </c>
      <c r="V18" s="18"/>
      <c r="W18" s="59">
        <v>63952.5</v>
      </c>
      <c r="X18" s="17"/>
      <c r="Y18" s="64">
        <f t="shared" si="6"/>
        <v>63952.5</v>
      </c>
      <c r="Z18" s="66"/>
      <c r="AA18" s="14">
        <f t="shared" si="7"/>
        <v>63952.5</v>
      </c>
      <c r="AB18" s="147">
        <f t="shared" si="8"/>
        <v>1.0385102547863789</v>
      </c>
      <c r="AC18" s="4"/>
      <c r="AD18" s="4"/>
    </row>
    <row r="19" spans="1:30" ht="15.75" thickBot="1" x14ac:dyDescent="0.3">
      <c r="A19" s="5"/>
      <c r="B19" s="15" t="s">
        <v>7</v>
      </c>
      <c r="C19" s="40" t="s">
        <v>46</v>
      </c>
      <c r="D19" s="19"/>
      <c r="E19" s="17"/>
      <c r="F19" s="60">
        <v>895.5</v>
      </c>
      <c r="G19" s="65">
        <f t="shared" si="1"/>
        <v>895.5</v>
      </c>
      <c r="H19" s="69"/>
      <c r="I19" s="14">
        <f t="shared" si="2"/>
        <v>895.5</v>
      </c>
      <c r="J19" s="447"/>
      <c r="K19" s="443"/>
      <c r="L19" s="448">
        <v>895.5</v>
      </c>
      <c r="M19" s="439">
        <f t="shared" si="0"/>
        <v>895.5</v>
      </c>
      <c r="N19" s="449"/>
      <c r="O19" s="435">
        <f t="shared" si="3"/>
        <v>895.5</v>
      </c>
      <c r="P19" s="19"/>
      <c r="Q19" s="17"/>
      <c r="R19" s="60">
        <v>447.75</v>
      </c>
      <c r="S19" s="64">
        <f t="shared" si="4"/>
        <v>447.75</v>
      </c>
      <c r="T19" s="69"/>
      <c r="U19" s="14">
        <f t="shared" si="5"/>
        <v>447.75</v>
      </c>
      <c r="V19" s="19"/>
      <c r="W19" s="17"/>
      <c r="X19" s="60">
        <v>895.5</v>
      </c>
      <c r="Y19" s="64">
        <f t="shared" si="6"/>
        <v>895.5</v>
      </c>
      <c r="Z19" s="69"/>
      <c r="AA19" s="14">
        <f t="shared" si="7"/>
        <v>895.5</v>
      </c>
      <c r="AB19" s="147">
        <f t="shared" si="8"/>
        <v>1</v>
      </c>
      <c r="AC19" s="4"/>
      <c r="AD19" s="4"/>
    </row>
    <row r="20" spans="1:30" ht="16.5" thickTop="1" thickBot="1" x14ac:dyDescent="0.3">
      <c r="A20" s="5"/>
      <c r="B20" s="15" t="s">
        <v>9</v>
      </c>
      <c r="C20" s="130" t="s">
        <v>47</v>
      </c>
      <c r="D20" s="18"/>
      <c r="E20" s="16"/>
      <c r="F20" s="919">
        <v>331.76</v>
      </c>
      <c r="G20" s="920">
        <f>F20</f>
        <v>331.76</v>
      </c>
      <c r="H20" s="921"/>
      <c r="I20" s="14">
        <f t="shared" si="2"/>
        <v>331.76</v>
      </c>
      <c r="J20" s="445"/>
      <c r="K20" s="438"/>
      <c r="L20" s="450">
        <v>160</v>
      </c>
      <c r="M20" s="439">
        <f t="shared" si="0"/>
        <v>160</v>
      </c>
      <c r="N20" s="449"/>
      <c r="O20" s="435">
        <f t="shared" si="3"/>
        <v>160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178">
        <v>170</v>
      </c>
      <c r="Y20" s="64">
        <f t="shared" si="6"/>
        <v>170</v>
      </c>
      <c r="Z20" s="69"/>
      <c r="AA20" s="14">
        <f t="shared" si="7"/>
        <v>170</v>
      </c>
      <c r="AB20" s="147">
        <f t="shared" si="8"/>
        <v>1.0625</v>
      </c>
      <c r="AC20" s="4"/>
      <c r="AD20" s="4"/>
    </row>
    <row r="21" spans="1:30" ht="15.75" thickTop="1" x14ac:dyDescent="0.25">
      <c r="A21" s="5"/>
      <c r="B21" s="15" t="s">
        <v>11</v>
      </c>
      <c r="C21" s="39" t="s">
        <v>2</v>
      </c>
      <c r="D21" s="18"/>
      <c r="E21" s="16"/>
      <c r="F21" s="61">
        <v>466.22</v>
      </c>
      <c r="G21" s="63">
        <f t="shared" si="1"/>
        <v>466.22</v>
      </c>
      <c r="H21" s="70">
        <v>245</v>
      </c>
      <c r="I21" s="14">
        <f>G21+H21</f>
        <v>711.22</v>
      </c>
      <c r="J21" s="445"/>
      <c r="K21" s="438"/>
      <c r="L21" s="450">
        <v>140</v>
      </c>
      <c r="M21" s="439">
        <f t="shared" si="0"/>
        <v>140</v>
      </c>
      <c r="N21" s="451">
        <v>150</v>
      </c>
      <c r="O21" s="435">
        <f>M21+N21</f>
        <v>290</v>
      </c>
      <c r="P21" s="18"/>
      <c r="Q21" s="16"/>
      <c r="R21" s="61">
        <v>490.178</v>
      </c>
      <c r="S21" s="64">
        <f t="shared" si="4"/>
        <v>490.178</v>
      </c>
      <c r="T21" s="70">
        <v>158.15700000000001</v>
      </c>
      <c r="U21" s="14">
        <f>S21+T21</f>
        <v>648.33500000000004</v>
      </c>
      <c r="V21" s="18"/>
      <c r="W21" s="16"/>
      <c r="X21" s="61">
        <v>200</v>
      </c>
      <c r="Y21" s="64">
        <f t="shared" si="6"/>
        <v>200</v>
      </c>
      <c r="Z21" s="70">
        <v>210</v>
      </c>
      <c r="AA21" s="14">
        <f>Y21+Z21</f>
        <v>410</v>
      </c>
      <c r="AB21" s="147">
        <f t="shared" si="8"/>
        <v>1.4137931034482758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>
        <v>245</v>
      </c>
      <c r="I22" s="14">
        <f t="shared" si="2"/>
        <v>245</v>
      </c>
      <c r="J22" s="445"/>
      <c r="K22" s="438"/>
      <c r="L22" s="450"/>
      <c r="M22" s="439">
        <f t="shared" si="0"/>
        <v>0</v>
      </c>
      <c r="N22" s="451">
        <v>150</v>
      </c>
      <c r="O22" s="435">
        <f t="shared" ref="O22:O23" si="9">M22+N22</f>
        <v>150</v>
      </c>
      <c r="P22" s="18"/>
      <c r="Q22" s="16"/>
      <c r="R22" s="61">
        <v>187.072</v>
      </c>
      <c r="S22" s="64">
        <f t="shared" si="4"/>
        <v>187.072</v>
      </c>
      <c r="T22" s="70">
        <v>122.532</v>
      </c>
      <c r="U22" s="14">
        <f t="shared" ref="U22:U23" si="10">S22+T22</f>
        <v>309.60399999999998</v>
      </c>
      <c r="V22" s="18"/>
      <c r="W22" s="16"/>
      <c r="X22" s="61"/>
      <c r="Y22" s="64">
        <f t="shared" si="6"/>
        <v>0</v>
      </c>
      <c r="Z22" s="70">
        <v>200</v>
      </c>
      <c r="AA22" s="14">
        <f t="shared" ref="AA22:AA23" si="11">Y22+Z22</f>
        <v>200</v>
      </c>
      <c r="AB22" s="147">
        <f t="shared" si="8"/>
        <v>1.3333333333333333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/>
      <c r="G23" s="65">
        <f t="shared" si="1"/>
        <v>0</v>
      </c>
      <c r="H23" s="71"/>
      <c r="I23" s="23">
        <f t="shared" si="2"/>
        <v>0</v>
      </c>
      <c r="J23" s="452"/>
      <c r="K23" s="453"/>
      <c r="L23" s="454"/>
      <c r="M23" s="455">
        <f t="shared" si="0"/>
        <v>0</v>
      </c>
      <c r="N23" s="456"/>
      <c r="O23" s="457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/>
      <c r="Y23" s="65">
        <f t="shared" si="6"/>
        <v>0</v>
      </c>
      <c r="Z23" s="71"/>
      <c r="AA23" s="23">
        <f t="shared" si="11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7318.2</v>
      </c>
      <c r="E24" s="27">
        <f>SUM(E15:E21)</f>
        <v>60148.33</v>
      </c>
      <c r="F24" s="27">
        <f>SUM(F15:F21)</f>
        <v>3714.7800000000007</v>
      </c>
      <c r="G24" s="28">
        <f>SUM(D24:F24)</f>
        <v>71181.31</v>
      </c>
      <c r="H24" s="29">
        <f>SUM(H15:H21)</f>
        <v>250.5</v>
      </c>
      <c r="I24" s="29">
        <f>SUM(I15:I21)</f>
        <v>71431.81</v>
      </c>
      <c r="J24" s="458">
        <f>SUM(J15:J21)</f>
        <v>8382.1</v>
      </c>
      <c r="K24" s="459">
        <f>SUM(K15:K21)</f>
        <v>61581</v>
      </c>
      <c r="L24" s="459">
        <f>SUM(L15:L21)</f>
        <v>3395.5</v>
      </c>
      <c r="M24" s="460">
        <f>SUM(J24:L24)</f>
        <v>73358.600000000006</v>
      </c>
      <c r="N24" s="461">
        <f>SUM(N15:N21)</f>
        <v>150</v>
      </c>
      <c r="O24" s="461">
        <f>SUM(O15:O21)</f>
        <v>73508.600000000006</v>
      </c>
      <c r="P24" s="26">
        <f>SUM(P15:P21)</f>
        <v>4119.75</v>
      </c>
      <c r="Q24" s="27">
        <f>SUM(Q15:Q21)</f>
        <v>29452.112000000001</v>
      </c>
      <c r="R24" s="27">
        <f>SUM(R15:R21)</f>
        <v>1927.1100000000001</v>
      </c>
      <c r="S24" s="28">
        <f>SUM(P24:R24)</f>
        <v>35498.972000000002</v>
      </c>
      <c r="T24" s="29">
        <f>SUM(T15:T21)</f>
        <v>161.99200000000002</v>
      </c>
      <c r="U24" s="29">
        <f>SUM(U15:U21)</f>
        <v>35660.964</v>
      </c>
      <c r="V24" s="26">
        <f>SUM(V15:V21)</f>
        <v>9156.5</v>
      </c>
      <c r="W24" s="27">
        <f>SUM(W15:W21)</f>
        <v>63952.5</v>
      </c>
      <c r="X24" s="27">
        <f>SUM(X15:X21)</f>
        <v>3565.5</v>
      </c>
      <c r="Y24" s="28">
        <f>SUM(V24:X24)</f>
        <v>76674.5</v>
      </c>
      <c r="Z24" s="29">
        <f>SUM(Z15:Z21)</f>
        <v>220</v>
      </c>
      <c r="AA24" s="29">
        <f>SUM(AA15:AA21)</f>
        <v>76894.5</v>
      </c>
      <c r="AB24" s="151">
        <f t="shared" si="8"/>
        <v>1.046061277183894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462" t="s">
        <v>68</v>
      </c>
      <c r="K25" s="463"/>
      <c r="L25" s="463"/>
      <c r="M25" s="464"/>
      <c r="N25" s="464"/>
      <c r="O25" s="46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466" t="s">
        <v>69</v>
      </c>
      <c r="K26" s="467"/>
      <c r="L26" s="467"/>
      <c r="M26" s="468" t="s">
        <v>64</v>
      </c>
      <c r="N26" s="469" t="s">
        <v>67</v>
      </c>
      <c r="O26" s="470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471" t="s">
        <v>54</v>
      </c>
      <c r="K27" s="472" t="s">
        <v>55</v>
      </c>
      <c r="L27" s="473" t="s">
        <v>56</v>
      </c>
      <c r="M27" s="474"/>
      <c r="N27" s="475"/>
      <c r="O27" s="47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820.1</v>
      </c>
      <c r="E28" s="72"/>
      <c r="F28" s="72"/>
      <c r="G28" s="73">
        <f>SUM(D28:F28)</f>
        <v>820.1</v>
      </c>
      <c r="H28" s="73"/>
      <c r="I28" s="37">
        <f>G28+H28</f>
        <v>820.1</v>
      </c>
      <c r="J28" s="477">
        <v>1080</v>
      </c>
      <c r="K28" s="478"/>
      <c r="L28" s="478"/>
      <c r="M28" s="479">
        <f>SUM(J28:L28)</f>
        <v>1080</v>
      </c>
      <c r="N28" s="479"/>
      <c r="O28" s="480">
        <f>M28+N28</f>
        <v>1080</v>
      </c>
      <c r="P28" s="80">
        <v>129.81899999999999</v>
      </c>
      <c r="Q28" s="72"/>
      <c r="R28" s="72"/>
      <c r="S28" s="73">
        <f>SUM(P28:R28)</f>
        <v>129.81899999999999</v>
      </c>
      <c r="T28" s="73"/>
      <c r="U28" s="37">
        <f>S28+T28</f>
        <v>129.81899999999999</v>
      </c>
      <c r="V28" s="80">
        <v>870</v>
      </c>
      <c r="W28" s="72"/>
      <c r="X28" s="72"/>
      <c r="Y28" s="73">
        <f>SUM(V28:X28)</f>
        <v>870</v>
      </c>
      <c r="Z28" s="73"/>
      <c r="AA28" s="37">
        <f>Y28+Z28</f>
        <v>870</v>
      </c>
      <c r="AB28" s="147">
        <f t="shared" ref="AB28:AB41" si="12">(AA28/O28)</f>
        <v>0.80555555555555558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481">
        <v>823.3</v>
      </c>
      <c r="E29" s="74">
        <v>478.2</v>
      </c>
      <c r="F29" s="74">
        <v>1952.3</v>
      </c>
      <c r="G29" s="75">
        <f>SUM(D29:F29)</f>
        <v>3253.8</v>
      </c>
      <c r="H29" s="76"/>
      <c r="I29" s="14">
        <f t="shared" ref="I29:I38" si="13">G29+H29</f>
        <v>3253.8</v>
      </c>
      <c r="J29" s="482">
        <v>1145</v>
      </c>
      <c r="K29" s="483"/>
      <c r="L29" s="483">
        <v>2200</v>
      </c>
      <c r="M29" s="484">
        <f t="shared" ref="M29:M37" si="14">SUM(J29:L29)</f>
        <v>3345</v>
      </c>
      <c r="N29" s="485">
        <v>50</v>
      </c>
      <c r="O29" s="435">
        <f t="shared" ref="O29:O38" si="15">M29+N29</f>
        <v>3395</v>
      </c>
      <c r="P29" s="81">
        <v>296.09100000000001</v>
      </c>
      <c r="Q29" s="74">
        <v>80.102000000000004</v>
      </c>
      <c r="R29" s="74"/>
      <c r="S29" s="75">
        <f t="shared" ref="S29:S38" si="16">SUM(P29:R29)</f>
        <v>376.19299999999998</v>
      </c>
      <c r="T29" s="76"/>
      <c r="U29" s="14">
        <f t="shared" ref="U29:U38" si="17">S29+T29</f>
        <v>376.19299999999998</v>
      </c>
      <c r="V29" s="81">
        <v>930.2</v>
      </c>
      <c r="W29" s="74">
        <v>670.19</v>
      </c>
      <c r="X29" s="74">
        <v>2400</v>
      </c>
      <c r="Y29" s="75">
        <f t="shared" ref="Y29:Y38" si="18">SUM(V29:X29)</f>
        <v>4000.3900000000003</v>
      </c>
      <c r="Z29" s="76"/>
      <c r="AA29" s="14">
        <f t="shared" ref="AA29:AA38" si="19">Y29+Z29</f>
        <v>4000.3900000000003</v>
      </c>
      <c r="AB29" s="147">
        <f t="shared" si="12"/>
        <v>1.1783181148748161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2627.1</v>
      </c>
      <c r="E30" s="77"/>
      <c r="F30" s="77"/>
      <c r="G30" s="75">
        <f t="shared" ref="G30:G38" si="20">SUM(D30:F30)</f>
        <v>2627.1</v>
      </c>
      <c r="H30" s="75">
        <v>54.9</v>
      </c>
      <c r="I30" s="14">
        <f t="shared" si="13"/>
        <v>2682</v>
      </c>
      <c r="J30" s="486">
        <v>2594</v>
      </c>
      <c r="K30" s="487"/>
      <c r="L30" s="488"/>
      <c r="M30" s="484">
        <f t="shared" si="14"/>
        <v>2594</v>
      </c>
      <c r="N30" s="484">
        <v>35</v>
      </c>
      <c r="O30" s="435">
        <f t="shared" si="15"/>
        <v>2629</v>
      </c>
      <c r="P30" s="82">
        <v>1714.7149999999999</v>
      </c>
      <c r="Q30" s="77"/>
      <c r="R30" s="77"/>
      <c r="S30" s="75">
        <f t="shared" si="16"/>
        <v>1714.7149999999999</v>
      </c>
      <c r="T30" s="75">
        <v>3.835</v>
      </c>
      <c r="U30" s="14">
        <f t="shared" si="17"/>
        <v>1718.55</v>
      </c>
      <c r="V30" s="82">
        <v>3100</v>
      </c>
      <c r="W30" s="77"/>
      <c r="X30" s="77"/>
      <c r="Y30" s="75">
        <f t="shared" si="18"/>
        <v>3100</v>
      </c>
      <c r="Z30" s="75"/>
      <c r="AA30" s="14">
        <f t="shared" si="19"/>
        <v>3100</v>
      </c>
      <c r="AB30" s="147">
        <f t="shared" si="12"/>
        <v>1.1791555724610119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1170.8</v>
      </c>
      <c r="E31" s="77">
        <v>245.4</v>
      </c>
      <c r="F31" s="77"/>
      <c r="G31" s="75">
        <f t="shared" si="20"/>
        <v>1416.2</v>
      </c>
      <c r="H31" s="75"/>
      <c r="I31" s="14">
        <f t="shared" si="13"/>
        <v>1416.2</v>
      </c>
      <c r="J31" s="486">
        <v>1049</v>
      </c>
      <c r="K31" s="488"/>
      <c r="L31" s="488">
        <v>80</v>
      </c>
      <c r="M31" s="484">
        <f t="shared" si="14"/>
        <v>1129</v>
      </c>
      <c r="N31" s="484"/>
      <c r="O31" s="435">
        <f t="shared" si="15"/>
        <v>1129</v>
      </c>
      <c r="P31" s="82">
        <v>596.57500000000005</v>
      </c>
      <c r="Q31" s="77">
        <v>674.10500000000002</v>
      </c>
      <c r="R31" s="77"/>
      <c r="S31" s="75">
        <f t="shared" si="16"/>
        <v>1270.68</v>
      </c>
      <c r="T31" s="75"/>
      <c r="U31" s="14">
        <f t="shared" si="17"/>
        <v>1270.68</v>
      </c>
      <c r="V31" s="82">
        <v>1526.4</v>
      </c>
      <c r="W31" s="77">
        <v>1655</v>
      </c>
      <c r="X31" s="77"/>
      <c r="Y31" s="75">
        <f t="shared" si="18"/>
        <v>3181.4</v>
      </c>
      <c r="Z31" s="75"/>
      <c r="AA31" s="14">
        <f t="shared" si="19"/>
        <v>3181.4</v>
      </c>
      <c r="AB31" s="147">
        <f t="shared" si="12"/>
        <v>2.8178919397697078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499">
        <f>D33+D34</f>
        <v>314.3</v>
      </c>
      <c r="E32" s="77">
        <f>E33+E34</f>
        <v>42551.9</v>
      </c>
      <c r="F32" s="77">
        <f>F33+F34</f>
        <v>228</v>
      </c>
      <c r="G32" s="75">
        <f t="shared" si="20"/>
        <v>43094.200000000004</v>
      </c>
      <c r="H32" s="75"/>
      <c r="I32" s="14">
        <f t="shared" si="13"/>
        <v>43094.200000000004</v>
      </c>
      <c r="J32" s="486">
        <f>J33+J34</f>
        <v>315.17</v>
      </c>
      <c r="K32" s="488">
        <f>K33+K34</f>
        <v>44540</v>
      </c>
      <c r="L32" s="488"/>
      <c r="M32" s="484">
        <f t="shared" si="14"/>
        <v>44855.17</v>
      </c>
      <c r="N32" s="484"/>
      <c r="O32" s="435">
        <f t="shared" si="15"/>
        <v>44855.17</v>
      </c>
      <c r="P32" s="83">
        <f>P33+P34</f>
        <v>175.52500000000001</v>
      </c>
      <c r="Q32" s="77">
        <f t="shared" ref="Q32:R32" si="21">Q33+Q34</f>
        <v>21031.690999999999</v>
      </c>
      <c r="R32" s="83">
        <f t="shared" si="21"/>
        <v>0</v>
      </c>
      <c r="S32" s="75">
        <f t="shared" si="16"/>
        <v>21207.216</v>
      </c>
      <c r="T32" s="75"/>
      <c r="U32" s="14">
        <f t="shared" si="17"/>
        <v>21207.216</v>
      </c>
      <c r="V32" s="83">
        <f>V33+V34</f>
        <v>462.3</v>
      </c>
      <c r="W32" s="77">
        <f>W33+W34</f>
        <v>45087</v>
      </c>
      <c r="X32" s="77"/>
      <c r="Y32" s="75">
        <f t="shared" si="18"/>
        <v>45549.3</v>
      </c>
      <c r="Z32" s="75"/>
      <c r="AA32" s="14">
        <f t="shared" si="19"/>
        <v>45549.3</v>
      </c>
      <c r="AB32" s="147">
        <f t="shared" si="12"/>
        <v>1.0154749162694068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499">
        <v>289.10000000000002</v>
      </c>
      <c r="E33" s="77">
        <v>41148.5</v>
      </c>
      <c r="F33" s="77"/>
      <c r="G33" s="75">
        <f t="shared" si="20"/>
        <v>41437.599999999999</v>
      </c>
      <c r="H33" s="75"/>
      <c r="I33" s="14">
        <f t="shared" si="13"/>
        <v>41437.599999999999</v>
      </c>
      <c r="J33" s="486">
        <v>315.17</v>
      </c>
      <c r="K33" s="488">
        <v>44500</v>
      </c>
      <c r="L33" s="488"/>
      <c r="M33" s="484">
        <f t="shared" si="14"/>
        <v>44815.17</v>
      </c>
      <c r="N33" s="484"/>
      <c r="O33" s="435">
        <f t="shared" si="15"/>
        <v>44815.17</v>
      </c>
      <c r="P33" s="83"/>
      <c r="Q33" s="77">
        <v>20173.573</v>
      </c>
      <c r="R33" s="77"/>
      <c r="S33" s="75">
        <f t="shared" si="16"/>
        <v>20173.573</v>
      </c>
      <c r="T33" s="75"/>
      <c r="U33" s="14">
        <f t="shared" si="17"/>
        <v>20173.573</v>
      </c>
      <c r="V33" s="83"/>
      <c r="W33" s="77">
        <v>44477</v>
      </c>
      <c r="X33" s="77"/>
      <c r="Y33" s="75">
        <f t="shared" si="18"/>
        <v>44477</v>
      </c>
      <c r="Z33" s="75"/>
      <c r="AA33" s="14">
        <f t="shared" si="19"/>
        <v>44477</v>
      </c>
      <c r="AB33" s="147">
        <f t="shared" si="12"/>
        <v>0.99245411765703451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499">
        <v>25.2</v>
      </c>
      <c r="E34" s="77">
        <v>1403.4</v>
      </c>
      <c r="F34" s="77">
        <v>228</v>
      </c>
      <c r="G34" s="75">
        <f t="shared" si="20"/>
        <v>1656.6000000000001</v>
      </c>
      <c r="H34" s="75"/>
      <c r="I34" s="14">
        <f t="shared" si="13"/>
        <v>1656.6000000000001</v>
      </c>
      <c r="J34" s="486"/>
      <c r="K34" s="488">
        <v>40</v>
      </c>
      <c r="L34" s="488"/>
      <c r="M34" s="484">
        <f>SUM(J34:L34)</f>
        <v>40</v>
      </c>
      <c r="N34" s="484"/>
      <c r="O34" s="435">
        <f t="shared" si="15"/>
        <v>40</v>
      </c>
      <c r="P34" s="83">
        <v>175.52500000000001</v>
      </c>
      <c r="Q34" s="77">
        <v>858.11800000000005</v>
      </c>
      <c r="R34" s="77"/>
      <c r="S34" s="75">
        <f t="shared" si="16"/>
        <v>1033.643</v>
      </c>
      <c r="T34" s="75"/>
      <c r="U34" s="14">
        <f t="shared" si="17"/>
        <v>1033.643</v>
      </c>
      <c r="V34" s="83">
        <v>462.3</v>
      </c>
      <c r="W34" s="77">
        <v>610</v>
      </c>
      <c r="X34" s="77"/>
      <c r="Y34" s="75">
        <f t="shared" si="18"/>
        <v>1072.3</v>
      </c>
      <c r="Z34" s="75"/>
      <c r="AA34" s="14">
        <f t="shared" si="19"/>
        <v>1072.3</v>
      </c>
      <c r="AB34" s="147">
        <f t="shared" si="12"/>
        <v>26.807499999999997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499">
        <v>97.7</v>
      </c>
      <c r="E35" s="77">
        <v>13836.9</v>
      </c>
      <c r="F35" s="77"/>
      <c r="G35" s="75">
        <f t="shared" si="20"/>
        <v>13934.6</v>
      </c>
      <c r="H35" s="75"/>
      <c r="I35" s="14">
        <f t="shared" si="13"/>
        <v>13934.6</v>
      </c>
      <c r="J35" s="486">
        <f>106.5-0.01</f>
        <v>106.49</v>
      </c>
      <c r="K35" s="488">
        <v>15041</v>
      </c>
      <c r="L35" s="488"/>
      <c r="M35" s="484">
        <f t="shared" si="14"/>
        <v>15147.49</v>
      </c>
      <c r="N35" s="484"/>
      <c r="O35" s="435">
        <f t="shared" si="15"/>
        <v>15147.49</v>
      </c>
      <c r="P35" s="83"/>
      <c r="Q35" s="77">
        <v>6774.9639999999999</v>
      </c>
      <c r="R35" s="77"/>
      <c r="S35" s="75">
        <f t="shared" si="16"/>
        <v>6774.9639999999999</v>
      </c>
      <c r="T35" s="75"/>
      <c r="U35" s="14">
        <f t="shared" si="17"/>
        <v>6774.9639999999999</v>
      </c>
      <c r="V35" s="83"/>
      <c r="W35" s="77">
        <v>15033.22</v>
      </c>
      <c r="X35" s="77"/>
      <c r="Y35" s="75">
        <f t="shared" si="18"/>
        <v>15033.22</v>
      </c>
      <c r="Z35" s="75"/>
      <c r="AA35" s="14">
        <f t="shared" si="19"/>
        <v>15033.22</v>
      </c>
      <c r="AB35" s="147">
        <f t="shared" si="12"/>
        <v>0.99245617590769164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/>
      <c r="E36" s="77"/>
      <c r="F36" s="77"/>
      <c r="G36" s="75">
        <f t="shared" si="20"/>
        <v>0</v>
      </c>
      <c r="H36" s="75"/>
      <c r="I36" s="14">
        <f t="shared" si="13"/>
        <v>0</v>
      </c>
      <c r="J36" s="486"/>
      <c r="K36" s="488"/>
      <c r="L36" s="488"/>
      <c r="M36" s="484">
        <f t="shared" si="14"/>
        <v>0</v>
      </c>
      <c r="N36" s="484"/>
      <c r="O36" s="435">
        <f t="shared" si="15"/>
        <v>0</v>
      </c>
      <c r="P36" s="82"/>
      <c r="Q36" s="77"/>
      <c r="R36" s="77"/>
      <c r="S36" s="75">
        <f t="shared" si="16"/>
        <v>0</v>
      </c>
      <c r="T36" s="75"/>
      <c r="U36" s="14">
        <f t="shared" si="17"/>
        <v>0</v>
      </c>
      <c r="V36" s="82"/>
      <c r="W36" s="77"/>
      <c r="X36" s="77"/>
      <c r="Y36" s="75">
        <f t="shared" si="18"/>
        <v>0</v>
      </c>
      <c r="Z36" s="75"/>
      <c r="AA36" s="14">
        <f t="shared" si="19"/>
        <v>0</v>
      </c>
      <c r="AB36" s="147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1153.3</v>
      </c>
      <c r="E37" s="77"/>
      <c r="F37" s="77">
        <v>895.5</v>
      </c>
      <c r="G37" s="75">
        <f t="shared" si="20"/>
        <v>2048.8000000000002</v>
      </c>
      <c r="H37" s="75"/>
      <c r="I37" s="14">
        <f t="shared" si="13"/>
        <v>2048.8000000000002</v>
      </c>
      <c r="J37" s="486">
        <v>1311</v>
      </c>
      <c r="K37" s="488"/>
      <c r="L37" s="488"/>
      <c r="M37" s="484">
        <f t="shared" si="14"/>
        <v>1311</v>
      </c>
      <c r="N37" s="484"/>
      <c r="O37" s="435">
        <f t="shared" si="15"/>
        <v>1311</v>
      </c>
      <c r="P37" s="82">
        <v>1045.412</v>
      </c>
      <c r="Q37" s="77"/>
      <c r="R37" s="77"/>
      <c r="S37" s="75">
        <f t="shared" si="16"/>
        <v>1045.412</v>
      </c>
      <c r="T37" s="75"/>
      <c r="U37" s="14">
        <f t="shared" si="17"/>
        <v>1045.412</v>
      </c>
      <c r="V37" s="82">
        <v>1200</v>
      </c>
      <c r="W37" s="77"/>
      <c r="X37" s="77">
        <v>895.5</v>
      </c>
      <c r="Y37" s="75">
        <f t="shared" si="18"/>
        <v>2095.5</v>
      </c>
      <c r="Z37" s="75"/>
      <c r="AA37" s="14">
        <f t="shared" si="19"/>
        <v>2095.5</v>
      </c>
      <c r="AB37" s="147">
        <f t="shared" si="12"/>
        <v>1.5983981693363845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351">
        <v>1015.6</v>
      </c>
      <c r="E38" s="351">
        <v>3054.5</v>
      </c>
      <c r="F38" s="78">
        <v>19.399999999999999</v>
      </c>
      <c r="G38" s="75">
        <f t="shared" si="20"/>
        <v>4089.5</v>
      </c>
      <c r="H38" s="79"/>
      <c r="I38" s="23">
        <f t="shared" si="13"/>
        <v>4089.5</v>
      </c>
      <c r="J38" s="489">
        <v>781.4</v>
      </c>
      <c r="K38" s="490">
        <v>2000</v>
      </c>
      <c r="L38" s="490">
        <v>1115.54</v>
      </c>
      <c r="M38" s="491">
        <f>SUM(J38:L38)</f>
        <v>3896.94</v>
      </c>
      <c r="N38" s="491">
        <v>65</v>
      </c>
      <c r="O38" s="457">
        <f t="shared" si="15"/>
        <v>3961.94</v>
      </c>
      <c r="P38" s="84">
        <v>321.74799999999999</v>
      </c>
      <c r="Q38" s="78">
        <v>890.12800000000004</v>
      </c>
      <c r="R38" s="78"/>
      <c r="S38" s="79">
        <f t="shared" si="16"/>
        <v>1211.876</v>
      </c>
      <c r="T38" s="79"/>
      <c r="U38" s="23">
        <f t="shared" si="17"/>
        <v>1211.876</v>
      </c>
      <c r="V38" s="84">
        <v>1067.5999999999999</v>
      </c>
      <c r="W38" s="78">
        <v>1507.08</v>
      </c>
      <c r="X38" s="78">
        <v>270</v>
      </c>
      <c r="Y38" s="79">
        <f t="shared" si="18"/>
        <v>2844.68</v>
      </c>
      <c r="Z38" s="79"/>
      <c r="AA38" s="23">
        <f t="shared" si="19"/>
        <v>2844.68</v>
      </c>
      <c r="AB38" s="150">
        <f t="shared" si="12"/>
        <v>0.71800178700333672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8022.2000000000007</v>
      </c>
      <c r="E39" s="42">
        <f>SUM(E35:E38)+SUM(E28:E32)</f>
        <v>60166.9</v>
      </c>
      <c r="F39" s="42">
        <f>SUM(F35:F38)+SUM(F28:F32)</f>
        <v>3095.2000000000003</v>
      </c>
      <c r="G39" s="146">
        <f>SUM(D39:F39)</f>
        <v>71284.3</v>
      </c>
      <c r="H39" s="43">
        <f>SUM(H28:H32)+SUM(H35:H38)</f>
        <v>54.9</v>
      </c>
      <c r="I39" s="44">
        <f>SUM(I35:I38)+SUM(I28:I32)</f>
        <v>71339.200000000012</v>
      </c>
      <c r="J39" s="492">
        <f>SUM(J35:J38)+SUM(J28:J32)</f>
        <v>8382.06</v>
      </c>
      <c r="K39" s="492">
        <f>SUM(K35:K38)+SUM(K28:K32)</f>
        <v>61581</v>
      </c>
      <c r="L39" s="492">
        <f>SUM(L35:L38)+SUM(L28:L32)</f>
        <v>3395.54</v>
      </c>
      <c r="M39" s="493">
        <f>SUM(J39:L39)</f>
        <v>73358.599999999991</v>
      </c>
      <c r="N39" s="494">
        <f>SUM(N28:N32)+SUM(N35:N38)</f>
        <v>150</v>
      </c>
      <c r="O39" s="495">
        <f>SUM(O35:O38)+SUM(O28:O32)</f>
        <v>73508.599999999991</v>
      </c>
      <c r="P39" s="42">
        <f>SUM(P35:P38)+SUM(P28:P32)</f>
        <v>4279.8850000000002</v>
      </c>
      <c r="Q39" s="42">
        <f>SUM(Q35:Q38)+SUM(Q28:Q32)</f>
        <v>29450.989999999998</v>
      </c>
      <c r="R39" s="42">
        <f>SUM(R35:R38)+SUM(R28:R32)</f>
        <v>0</v>
      </c>
      <c r="S39" s="146">
        <f>SUM(P39:R39)</f>
        <v>33730.875</v>
      </c>
      <c r="T39" s="43">
        <f>SUM(T28:T32)+SUM(T35:T38)</f>
        <v>3.835</v>
      </c>
      <c r="U39" s="44">
        <f>SUM(U35:U38)+SUM(U28:U32)</f>
        <v>33734.71</v>
      </c>
      <c r="V39" s="42">
        <f>SUM(V35:V38)+SUM(V28:V32)</f>
        <v>9156.5</v>
      </c>
      <c r="W39" s="42">
        <f>SUM(W35:W38)+SUM(W28:W32)</f>
        <v>63952.490000000005</v>
      </c>
      <c r="X39" s="42">
        <f>SUM(X35:X38)+SUM(X28:X32)</f>
        <v>3565.5</v>
      </c>
      <c r="Y39" s="146">
        <f>SUM(V39:X39)</f>
        <v>76674.490000000005</v>
      </c>
      <c r="Z39" s="43">
        <f>SUM(Z28:Z32)+SUM(Z35:Z38)</f>
        <v>0</v>
      </c>
      <c r="AA39" s="44">
        <f>SUM(AA35:AA38)+SUM(AA28:AA32)</f>
        <v>76674.490000000005</v>
      </c>
      <c r="AB39" s="152">
        <f t="shared" si="12"/>
        <v>1.0430682940499481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AA40" si="22">D24-D39</f>
        <v>-704.00000000000091</v>
      </c>
      <c r="E40" s="109">
        <f t="shared" si="22"/>
        <v>-18.569999999999709</v>
      </c>
      <c r="F40" s="109">
        <f t="shared" si="22"/>
        <v>619.58000000000038</v>
      </c>
      <c r="G40" s="118">
        <f t="shared" si="22"/>
        <v>-102.99000000000524</v>
      </c>
      <c r="H40" s="118">
        <f t="shared" si="22"/>
        <v>195.6</v>
      </c>
      <c r="I40" s="119">
        <f t="shared" si="22"/>
        <v>92.60999999998603</v>
      </c>
      <c r="J40" s="109">
        <f t="shared" si="22"/>
        <v>4.0000000000873115E-2</v>
      </c>
      <c r="K40" s="109">
        <f t="shared" si="22"/>
        <v>0</v>
      </c>
      <c r="L40" s="109">
        <f t="shared" si="22"/>
        <v>-3.999999999996362E-2</v>
      </c>
      <c r="M40" s="496">
        <f t="shared" si="22"/>
        <v>0</v>
      </c>
      <c r="N40" s="496">
        <f t="shared" si="22"/>
        <v>0</v>
      </c>
      <c r="O40" s="497">
        <f t="shared" si="22"/>
        <v>0</v>
      </c>
      <c r="P40" s="109">
        <f t="shared" si="22"/>
        <v>-160.13500000000022</v>
      </c>
      <c r="Q40" s="109">
        <f t="shared" si="22"/>
        <v>1.1220000000030268</v>
      </c>
      <c r="R40" s="109">
        <f t="shared" si="22"/>
        <v>1927.1100000000001</v>
      </c>
      <c r="S40" s="118">
        <f t="shared" si="22"/>
        <v>1768.0970000000016</v>
      </c>
      <c r="T40" s="118">
        <f t="shared" si="22"/>
        <v>158.15700000000001</v>
      </c>
      <c r="U40" s="119">
        <f t="shared" si="22"/>
        <v>1926.2540000000008</v>
      </c>
      <c r="V40" s="109">
        <f t="shared" si="22"/>
        <v>0</v>
      </c>
      <c r="W40" s="109">
        <f t="shared" si="22"/>
        <v>9.9999999947613105E-3</v>
      </c>
      <c r="X40" s="109">
        <f t="shared" si="22"/>
        <v>0</v>
      </c>
      <c r="Y40" s="118">
        <f t="shared" si="22"/>
        <v>9.9999999947613105E-3</v>
      </c>
      <c r="Z40" s="118">
        <f t="shared" si="22"/>
        <v>220</v>
      </c>
      <c r="AA40" s="119">
        <f t="shared" si="22"/>
        <v>220.00999999999476</v>
      </c>
      <c r="AB40" s="153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-6717.390000000014</v>
      </c>
      <c r="J41" s="112"/>
      <c r="K41" s="113"/>
      <c r="L41" s="113"/>
      <c r="M41" s="114"/>
      <c r="N41" s="117"/>
      <c r="O41" s="116">
        <f>O40-J16</f>
        <v>-7859</v>
      </c>
      <c r="P41" s="112"/>
      <c r="Q41" s="113"/>
      <c r="R41" s="113"/>
      <c r="S41" s="114"/>
      <c r="T41" s="117"/>
      <c r="U41" s="116">
        <f>U40-P16</f>
        <v>-2003.3459999999991</v>
      </c>
      <c r="V41" s="112"/>
      <c r="W41" s="113"/>
      <c r="X41" s="113"/>
      <c r="Y41" s="114"/>
      <c r="Z41" s="117"/>
      <c r="AA41" s="116">
        <f>AA40-V16</f>
        <v>-7965.1900000000051</v>
      </c>
      <c r="AB41" s="147">
        <f t="shared" si="12"/>
        <v>1.013511897187938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>
        <v>821.88499999999999</v>
      </c>
      <c r="E44" s="104">
        <v>821.88499999999999</v>
      </c>
      <c r="F44" s="105">
        <v>0</v>
      </c>
      <c r="G44" s="49"/>
      <c r="H44" s="49"/>
      <c r="I44" s="50"/>
      <c r="J44" s="94">
        <v>821.88499999999999</v>
      </c>
      <c r="K44" s="104">
        <v>821.88499999999999</v>
      </c>
      <c r="L44" s="105">
        <v>0</v>
      </c>
      <c r="M44" s="93"/>
      <c r="N44" s="93"/>
      <c r="O44" s="93"/>
      <c r="P44" s="94">
        <v>410.94200000000001</v>
      </c>
      <c r="Q44" s="104">
        <v>410.94200000000001</v>
      </c>
      <c r="R44" s="105">
        <v>0</v>
      </c>
      <c r="S44" s="4"/>
      <c r="T44" s="4"/>
      <c r="U44" s="4"/>
      <c r="V44" s="94">
        <v>821.88499999999999</v>
      </c>
      <c r="W44" s="104">
        <v>821.88499999999999</v>
      </c>
      <c r="X44" s="105"/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266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85">
        <v>198.37100000000001</v>
      </c>
      <c r="E50" s="85">
        <v>95.525000000000006</v>
      </c>
      <c r="F50" s="85">
        <v>7.34</v>
      </c>
      <c r="G50" s="52">
        <f>D50+E50-F50</f>
        <v>286.55600000000004</v>
      </c>
      <c r="H50" s="49"/>
      <c r="I50" s="4"/>
      <c r="J50" s="52">
        <f>G50</f>
        <v>286.55600000000004</v>
      </c>
      <c r="K50" s="85"/>
      <c r="L50" s="85"/>
      <c r="M50" s="52">
        <f>J50+K50-L50</f>
        <v>286.55600000000004</v>
      </c>
      <c r="N50" s="4"/>
      <c r="O50" s="4"/>
      <c r="P50" s="85">
        <v>286.55599999999998</v>
      </c>
      <c r="Q50" s="85"/>
      <c r="R50" s="85"/>
      <c r="S50" s="52">
        <f>P50+Q50-R50</f>
        <v>286.55599999999998</v>
      </c>
      <c r="T50" s="4"/>
      <c r="U50" s="4"/>
      <c r="V50" s="85">
        <v>286.60000000000002</v>
      </c>
      <c r="W50" s="85"/>
      <c r="X50" s="85">
        <v>50</v>
      </c>
      <c r="Y50" s="52">
        <f>V50+W50-X50</f>
        <v>236.60000000000002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85">
        <v>2427.3029999999999</v>
      </c>
      <c r="E51" s="85">
        <v>1679.5139999999999</v>
      </c>
      <c r="F51" s="85">
        <v>2845.5129999999999</v>
      </c>
      <c r="G51" s="52">
        <f t="shared" ref="G51:G54" si="23">D51+E51-F51</f>
        <v>1261.3040000000001</v>
      </c>
      <c r="H51" s="49"/>
      <c r="I51" s="4"/>
      <c r="J51" s="52">
        <f t="shared" ref="J51:J54" si="24">G51</f>
        <v>1261.3040000000001</v>
      </c>
      <c r="K51" s="85">
        <v>150</v>
      </c>
      <c r="L51" s="85"/>
      <c r="M51" s="52">
        <f t="shared" ref="M51:M54" si="25">J51+K51-L51</f>
        <v>1411.3040000000001</v>
      </c>
      <c r="N51" s="4"/>
      <c r="O51" s="4"/>
      <c r="P51" s="85">
        <v>1261.3040000000001</v>
      </c>
      <c r="Q51" s="85">
        <f>459.736</f>
        <v>459.73599999999999</v>
      </c>
      <c r="R51" s="85">
        <v>1692.989</v>
      </c>
      <c r="S51" s="52">
        <f t="shared" ref="S51:S54" si="26">P51+Q51-R51</f>
        <v>28.050999999999931</v>
      </c>
      <c r="T51" s="4"/>
      <c r="U51" s="4"/>
      <c r="V51" s="85">
        <v>1000</v>
      </c>
      <c r="W51" s="85">
        <v>600</v>
      </c>
      <c r="X51" s="85">
        <v>1000</v>
      </c>
      <c r="Y51" s="52">
        <f t="shared" ref="Y51:Y54" si="27">V51+W51-X51</f>
        <v>600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804.09799999999996</v>
      </c>
      <c r="E52" s="85">
        <v>1153.2650000000001</v>
      </c>
      <c r="F52" s="85">
        <v>1357.9290000000001</v>
      </c>
      <c r="G52" s="52">
        <f t="shared" si="23"/>
        <v>599.43399999999997</v>
      </c>
      <c r="H52" s="49"/>
      <c r="I52" s="4"/>
      <c r="J52" s="52">
        <f t="shared" si="24"/>
        <v>599.43399999999997</v>
      </c>
      <c r="K52" s="85">
        <v>1200</v>
      </c>
      <c r="L52" s="85">
        <v>1200</v>
      </c>
      <c r="M52" s="52">
        <f t="shared" si="25"/>
        <v>599.43399999999997</v>
      </c>
      <c r="N52" s="4"/>
      <c r="O52" s="4"/>
      <c r="P52" s="85">
        <v>599.43399999999997</v>
      </c>
      <c r="Q52" s="85">
        <v>597.66099999999994</v>
      </c>
      <c r="R52" s="85">
        <v>690.73099999999999</v>
      </c>
      <c r="S52" s="52">
        <f t="shared" si="26"/>
        <v>506.36399999999981</v>
      </c>
      <c r="T52" s="4"/>
      <c r="U52" s="4"/>
      <c r="V52" s="85">
        <v>400</v>
      </c>
      <c r="W52" s="85">
        <v>1150</v>
      </c>
      <c r="X52" s="85">
        <v>400</v>
      </c>
      <c r="Y52" s="52">
        <f t="shared" si="27"/>
        <v>1150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165.31</v>
      </c>
      <c r="E53" s="85">
        <v>23.881</v>
      </c>
      <c r="F53" s="85">
        <v>0.77800000000000002</v>
      </c>
      <c r="G53" s="52">
        <f t="shared" si="23"/>
        <v>188.41300000000001</v>
      </c>
      <c r="H53" s="49"/>
      <c r="I53" s="4"/>
      <c r="J53" s="52">
        <f t="shared" si="24"/>
        <v>188.41300000000001</v>
      </c>
      <c r="K53" s="85"/>
      <c r="L53" s="85">
        <v>50</v>
      </c>
      <c r="M53" s="52">
        <f t="shared" si="25"/>
        <v>138.41300000000001</v>
      </c>
      <c r="N53" s="4"/>
      <c r="O53" s="4"/>
      <c r="P53" s="85">
        <v>188.41399999999999</v>
      </c>
      <c r="Q53" s="85">
        <v>17.510999999999999</v>
      </c>
      <c r="R53" s="85"/>
      <c r="S53" s="52">
        <f t="shared" si="26"/>
        <v>205.92499999999998</v>
      </c>
      <c r="T53" s="4"/>
      <c r="U53" s="4"/>
      <c r="V53" s="85">
        <v>200</v>
      </c>
      <c r="W53" s="85"/>
      <c r="X53" s="85">
        <v>50</v>
      </c>
      <c r="Y53" s="52">
        <f t="shared" si="27"/>
        <v>150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1410.8610000000001</v>
      </c>
      <c r="E54" s="85">
        <f>840.376</f>
        <v>840.37599999999998</v>
      </c>
      <c r="F54" s="85">
        <f>1091.847</f>
        <v>1091.847</v>
      </c>
      <c r="G54" s="52">
        <f t="shared" si="23"/>
        <v>1159.3900000000001</v>
      </c>
      <c r="H54" s="49"/>
      <c r="I54" s="4"/>
      <c r="J54" s="52">
        <f t="shared" si="24"/>
        <v>1159.3900000000001</v>
      </c>
      <c r="K54" s="85">
        <v>800</v>
      </c>
      <c r="L54" s="85">
        <v>1200</v>
      </c>
      <c r="M54" s="52">
        <f t="shared" si="25"/>
        <v>759.3900000000001</v>
      </c>
      <c r="N54" s="4"/>
      <c r="O54" s="4"/>
      <c r="P54" s="85">
        <v>1159.3900000000001</v>
      </c>
      <c r="Q54" s="85">
        <v>410.74599999999998</v>
      </c>
      <c r="R54" s="85">
        <v>293.709</v>
      </c>
      <c r="S54" s="52">
        <f t="shared" si="26"/>
        <v>1276.4269999999999</v>
      </c>
      <c r="T54" s="4"/>
      <c r="U54" s="4"/>
      <c r="V54" s="85">
        <v>950</v>
      </c>
      <c r="W54" s="85">
        <v>600</v>
      </c>
      <c r="X54" s="85">
        <v>800</v>
      </c>
      <c r="Y54" s="52">
        <f t="shared" si="27"/>
        <v>750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/>
      <c r="E57" s="86">
        <v>89.74</v>
      </c>
      <c r="F57" s="49"/>
      <c r="G57" s="49"/>
      <c r="H57" s="49"/>
      <c r="I57" s="50"/>
      <c r="J57" s="86">
        <v>90</v>
      </c>
      <c r="K57" s="49"/>
      <c r="L57" s="49"/>
      <c r="M57" s="49"/>
      <c r="N57" s="49"/>
      <c r="O57" s="50"/>
      <c r="P57" s="86">
        <v>89.94</v>
      </c>
      <c r="Q57" s="50"/>
      <c r="R57" s="50"/>
      <c r="S57" s="50"/>
      <c r="T57" s="50"/>
      <c r="U57" s="50"/>
      <c r="V57" s="86">
        <v>90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83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83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83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83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83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83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83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83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83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83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83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83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183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24"/>
      <c r="C83" s="91"/>
      <c r="D83" s="91"/>
      <c r="E83" s="91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43"/>
      <c r="C84" s="140"/>
      <c r="D84" s="2"/>
      <c r="E84" s="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24"/>
      <c r="C86" s="125"/>
      <c r="D86" s="2"/>
      <c r="E86" s="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22"/>
      <c r="W86" s="122"/>
      <c r="X86" s="122"/>
      <c r="Y86" s="122"/>
      <c r="Z86" s="122"/>
      <c r="AA86" s="122"/>
      <c r="AB86" s="123"/>
      <c r="AC86" s="4"/>
      <c r="AD86" s="4"/>
    </row>
    <row r="87" spans="1:30" x14ac:dyDescent="0.25">
      <c r="A87" s="5"/>
      <c r="B87" s="134"/>
      <c r="C87" s="135"/>
      <c r="D87" s="136"/>
      <c r="E87" s="136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56"/>
      <c r="W87" s="156"/>
      <c r="X87" s="156"/>
      <c r="Y87" s="156"/>
      <c r="Z87" s="156"/>
      <c r="AA87" s="156"/>
      <c r="AB87" s="157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7"/>
      <c r="B89" s="138"/>
      <c r="C89" s="137"/>
      <c r="D89" s="138"/>
      <c r="E89" s="138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3" t="s">
        <v>80</v>
      </c>
      <c r="C91" s="120">
        <v>45209</v>
      </c>
      <c r="D91" s="53" t="s">
        <v>76</v>
      </c>
      <c r="E91" s="218" t="s">
        <v>267</v>
      </c>
      <c r="F91" s="218"/>
      <c r="G91" s="218"/>
      <c r="H91" s="53"/>
      <c r="I91" s="53" t="s">
        <v>77</v>
      </c>
      <c r="J91" s="222" t="s">
        <v>268</v>
      </c>
      <c r="K91" s="222"/>
      <c r="L91" s="222"/>
      <c r="M91" s="222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 t="s">
        <v>79</v>
      </c>
      <c r="E93" s="55"/>
      <c r="F93" s="55"/>
      <c r="G93" s="55"/>
      <c r="H93" s="53"/>
      <c r="I93" s="53" t="s">
        <v>79</v>
      </c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5"/>
      <c r="F94" s="55"/>
      <c r="G94" s="55"/>
      <c r="H94" s="53"/>
      <c r="I94" s="53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7" priority="3" operator="equal">
      <formula>0</formula>
    </cfRule>
    <cfRule type="containsErrors" dxfId="6" priority="4">
      <formula>ISERROR(AB15)</formula>
    </cfRule>
  </conditionalFormatting>
  <conditionalFormatting sqref="AB28:AB41">
    <cfRule type="cellIs" dxfId="5" priority="1" operator="equal">
      <formula>0</formula>
    </cfRule>
    <cfRule type="containsErrors" dxfId="4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76"/>
  <sheetViews>
    <sheetView showGridLines="0" zoomScaleNormal="100" zoomScaleSheetLayoutView="80" workbookViewId="0">
      <selection activeCell="V30" sqref="V3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3.4257812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239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46789685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429" t="s">
        <v>240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2252.3000000000002</v>
      </c>
      <c r="G15" s="63">
        <f>SUM(D15:F15)</f>
        <v>2252.3000000000002</v>
      </c>
      <c r="H15" s="66">
        <v>188.6</v>
      </c>
      <c r="I15" s="14">
        <f>G15+H15</f>
        <v>2440.9</v>
      </c>
      <c r="J15" s="12"/>
      <c r="K15" s="13"/>
      <c r="L15" s="56">
        <v>2100</v>
      </c>
      <c r="M15" s="63">
        <f t="shared" ref="M15:M23" si="0">SUM(J15:L15)</f>
        <v>2100</v>
      </c>
      <c r="N15" s="66">
        <v>0</v>
      </c>
      <c r="O15" s="14">
        <f>M15+N15</f>
        <v>2100</v>
      </c>
      <c r="P15" s="12"/>
      <c r="Q15" s="13"/>
      <c r="R15" s="56">
        <v>1425.6</v>
      </c>
      <c r="S15" s="63">
        <f>SUM(P15:R15)</f>
        <v>1425.6</v>
      </c>
      <c r="T15" s="66">
        <v>0</v>
      </c>
      <c r="U15" s="14">
        <f>S15+T15</f>
        <v>1425.6</v>
      </c>
      <c r="V15" s="12"/>
      <c r="W15" s="13"/>
      <c r="X15" s="56">
        <v>2500</v>
      </c>
      <c r="Y15" s="63">
        <f>SUM(V15:X15)</f>
        <v>2500</v>
      </c>
      <c r="Z15" s="66"/>
      <c r="AA15" s="14">
        <f>Y15+Z15</f>
        <v>2500</v>
      </c>
      <c r="AB15" s="147">
        <f>(AA15/O15)</f>
        <v>1.1904761904761905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5294.5</v>
      </c>
      <c r="E16" s="16"/>
      <c r="F16" s="16"/>
      <c r="G16" s="64">
        <f t="shared" ref="G16:G23" si="1">SUM(D16:F16)</f>
        <v>5294.5</v>
      </c>
      <c r="H16" s="67"/>
      <c r="I16" s="14">
        <f t="shared" ref="I16:I23" si="2">G16+H16</f>
        <v>5294.5</v>
      </c>
      <c r="J16" s="57">
        <v>6209.2</v>
      </c>
      <c r="K16" s="16"/>
      <c r="L16" s="16"/>
      <c r="M16" s="64">
        <f t="shared" si="0"/>
        <v>6209.2</v>
      </c>
      <c r="N16" s="67"/>
      <c r="O16" s="14">
        <f t="shared" ref="O16:O20" si="3">M16+N16</f>
        <v>6209.2</v>
      </c>
      <c r="P16" s="57">
        <v>3156.9</v>
      </c>
      <c r="Q16" s="16"/>
      <c r="R16" s="16"/>
      <c r="S16" s="64">
        <f t="shared" ref="S16:S23" si="4">SUM(P16:R16)</f>
        <v>3156.9</v>
      </c>
      <c r="T16" s="67"/>
      <c r="U16" s="14">
        <f t="shared" ref="U16:U20" si="5">S16+T16</f>
        <v>3156.9</v>
      </c>
      <c r="V16" s="57">
        <v>6715.6</v>
      </c>
      <c r="W16" s="16"/>
      <c r="X16" s="16"/>
      <c r="Y16" s="64">
        <f t="shared" ref="Y16:Y23" si="6">SUM(V16:X16)</f>
        <v>6715.6</v>
      </c>
      <c r="Z16" s="67"/>
      <c r="AA16" s="14">
        <f t="shared" ref="AA16:AA20" si="7">Y16+Z16</f>
        <v>6715.6</v>
      </c>
      <c r="AB16" s="147">
        <f t="shared" ref="AB16:AB24" si="8">(AA16/O16)</f>
        <v>1.0815564001803777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>
        <v>328.7</v>
      </c>
      <c r="E17" s="17"/>
      <c r="F17" s="17"/>
      <c r="G17" s="64">
        <f t="shared" si="1"/>
        <v>328.7</v>
      </c>
      <c r="H17" s="68"/>
      <c r="I17" s="14">
        <f t="shared" si="2"/>
        <v>328.7</v>
      </c>
      <c r="J17" s="58">
        <v>332.6</v>
      </c>
      <c r="K17" s="17"/>
      <c r="L17" s="17"/>
      <c r="M17" s="64">
        <f t="shared" si="0"/>
        <v>332.6</v>
      </c>
      <c r="N17" s="68"/>
      <c r="O17" s="14">
        <f t="shared" si="3"/>
        <v>332.6</v>
      </c>
      <c r="P17" s="58">
        <v>332.6</v>
      </c>
      <c r="Q17" s="17"/>
      <c r="R17" s="17"/>
      <c r="S17" s="64">
        <f t="shared" si="4"/>
        <v>332.6</v>
      </c>
      <c r="T17" s="68"/>
      <c r="U17" s="14">
        <f t="shared" si="5"/>
        <v>332.6</v>
      </c>
      <c r="V17" s="58">
        <v>835.5</v>
      </c>
      <c r="W17" s="17"/>
      <c r="X17" s="17"/>
      <c r="Y17" s="64">
        <f t="shared" si="6"/>
        <v>835.5</v>
      </c>
      <c r="Z17" s="68"/>
      <c r="AA17" s="14">
        <f t="shared" si="7"/>
        <v>835.5</v>
      </c>
      <c r="AB17" s="147">
        <f t="shared" si="8"/>
        <v>2.5120264582080574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54056.3</v>
      </c>
      <c r="F18" s="17"/>
      <c r="G18" s="64">
        <f t="shared" si="1"/>
        <v>54056.3</v>
      </c>
      <c r="H18" s="66"/>
      <c r="I18" s="14">
        <f t="shared" si="2"/>
        <v>54056.3</v>
      </c>
      <c r="J18" s="18"/>
      <c r="K18" s="59">
        <v>60001.2</v>
      </c>
      <c r="L18" s="17"/>
      <c r="M18" s="64">
        <f t="shared" si="0"/>
        <v>60001.2</v>
      </c>
      <c r="N18" s="66"/>
      <c r="O18" s="14">
        <f t="shared" si="3"/>
        <v>60001.2</v>
      </c>
      <c r="P18" s="18"/>
      <c r="Q18" s="59">
        <v>29902.9</v>
      </c>
      <c r="R18" s="17"/>
      <c r="S18" s="64">
        <f t="shared" si="4"/>
        <v>29902.9</v>
      </c>
      <c r="T18" s="66"/>
      <c r="U18" s="14">
        <f t="shared" si="5"/>
        <v>29902.9</v>
      </c>
      <c r="V18" s="18"/>
      <c r="W18" s="59">
        <v>60001.2</v>
      </c>
      <c r="X18" s="17"/>
      <c r="Y18" s="64">
        <f t="shared" si="6"/>
        <v>60001.2</v>
      </c>
      <c r="Z18" s="66"/>
      <c r="AA18" s="14">
        <f t="shared" si="7"/>
        <v>60001.2</v>
      </c>
      <c r="AB18" s="147">
        <f t="shared" si="8"/>
        <v>1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965.2</v>
      </c>
      <c r="G19" s="64">
        <f t="shared" si="1"/>
        <v>965.2</v>
      </c>
      <c r="H19" s="69"/>
      <c r="I19" s="14">
        <f t="shared" si="2"/>
        <v>965.2</v>
      </c>
      <c r="J19" s="19"/>
      <c r="K19" s="17"/>
      <c r="L19" s="60">
        <v>957</v>
      </c>
      <c r="M19" s="64">
        <f t="shared" si="0"/>
        <v>957</v>
      </c>
      <c r="N19" s="69"/>
      <c r="O19" s="14">
        <f t="shared" si="3"/>
        <v>957</v>
      </c>
      <c r="P19" s="19"/>
      <c r="Q19" s="17"/>
      <c r="R19" s="60"/>
      <c r="S19" s="64">
        <f t="shared" si="4"/>
        <v>0</v>
      </c>
      <c r="T19" s="69"/>
      <c r="U19" s="14">
        <f t="shared" si="5"/>
        <v>0</v>
      </c>
      <c r="V19" s="19"/>
      <c r="W19" s="17"/>
      <c r="X19" s="60">
        <v>957</v>
      </c>
      <c r="Y19" s="64">
        <f t="shared" si="6"/>
        <v>957</v>
      </c>
      <c r="Z19" s="69"/>
      <c r="AA19" s="14">
        <f t="shared" si="7"/>
        <v>957</v>
      </c>
      <c r="AB19" s="147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/>
      <c r="G20" s="64"/>
      <c r="H20" s="69"/>
      <c r="I20" s="14">
        <f t="shared" si="2"/>
        <v>0</v>
      </c>
      <c r="J20" s="18"/>
      <c r="K20" s="16"/>
      <c r="L20" s="61"/>
      <c r="M20" s="64">
        <f t="shared" si="0"/>
        <v>0</v>
      </c>
      <c r="N20" s="69"/>
      <c r="O20" s="14">
        <f t="shared" si="3"/>
        <v>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61"/>
      <c r="Y20" s="64">
        <f t="shared" si="6"/>
        <v>0</v>
      </c>
      <c r="Z20" s="69"/>
      <c r="AA20" s="14">
        <f t="shared" si="7"/>
        <v>0</v>
      </c>
      <c r="AB20" s="147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/>
      <c r="G21" s="64">
        <f t="shared" si="1"/>
        <v>0</v>
      </c>
      <c r="H21" s="70"/>
      <c r="I21" s="14">
        <f>G21+H21</f>
        <v>0</v>
      </c>
      <c r="J21" s="18"/>
      <c r="K21" s="16"/>
      <c r="L21" s="61">
        <v>1500</v>
      </c>
      <c r="M21" s="64">
        <f t="shared" si="0"/>
        <v>1500</v>
      </c>
      <c r="N21" s="70"/>
      <c r="O21" s="14">
        <f>M21+N21</f>
        <v>1500</v>
      </c>
      <c r="P21" s="18"/>
      <c r="Q21" s="16"/>
      <c r="R21" s="61"/>
      <c r="S21" s="64">
        <v>700.9</v>
      </c>
      <c r="T21" s="70">
        <v>158.5</v>
      </c>
      <c r="U21" s="14">
        <f>S21+T21</f>
        <v>859.4</v>
      </c>
      <c r="V21" s="18"/>
      <c r="W21" s="16"/>
      <c r="X21" s="61">
        <v>1500</v>
      </c>
      <c r="Y21" s="64">
        <f t="shared" si="6"/>
        <v>1500</v>
      </c>
      <c r="Z21" s="70"/>
      <c r="AA21" s="14">
        <f>Y21+Z21</f>
        <v>1500</v>
      </c>
      <c r="AB21" s="147">
        <f t="shared" si="8"/>
        <v>1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18"/>
      <c r="K22" s="16"/>
      <c r="L22" s="61">
        <v>300</v>
      </c>
      <c r="M22" s="64">
        <f t="shared" si="0"/>
        <v>300</v>
      </c>
      <c r="N22" s="70"/>
      <c r="O22" s="14">
        <f t="shared" ref="O22:O23" si="9">M22+N22</f>
        <v>300</v>
      </c>
      <c r="P22" s="18"/>
      <c r="Q22" s="16"/>
      <c r="R22" s="61"/>
      <c r="S22" s="64">
        <f t="shared" si="4"/>
        <v>0</v>
      </c>
      <c r="T22" s="70">
        <v>158.6</v>
      </c>
      <c r="U22" s="14">
        <f t="shared" ref="U22:U23" si="10">S22+T22</f>
        <v>158.6</v>
      </c>
      <c r="V22" s="18"/>
      <c r="W22" s="16"/>
      <c r="X22" s="61">
        <v>300</v>
      </c>
      <c r="Y22" s="64">
        <f t="shared" si="6"/>
        <v>300</v>
      </c>
      <c r="Z22" s="70"/>
      <c r="AA22" s="14">
        <f t="shared" ref="AA22:AA23" si="11">Y22+Z22</f>
        <v>300</v>
      </c>
      <c r="AB22" s="147">
        <f t="shared" si="8"/>
        <v>1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/>
      <c r="G23" s="65">
        <f t="shared" si="1"/>
        <v>0</v>
      </c>
      <c r="H23" s="71"/>
      <c r="I23" s="23">
        <f t="shared" si="2"/>
        <v>0</v>
      </c>
      <c r="J23" s="21"/>
      <c r="K23" s="22"/>
      <c r="L23" s="62"/>
      <c r="M23" s="65">
        <f t="shared" si="0"/>
        <v>0</v>
      </c>
      <c r="N23" s="71"/>
      <c r="O23" s="23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/>
      <c r="Y23" s="65">
        <f t="shared" si="6"/>
        <v>0</v>
      </c>
      <c r="Z23" s="71"/>
      <c r="AA23" s="23">
        <f t="shared" si="11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5623.2</v>
      </c>
      <c r="E24" s="27">
        <f>SUM(E15:E21)</f>
        <v>54056.3</v>
      </c>
      <c r="F24" s="27">
        <f>SUM(F15:F21)</f>
        <v>3217.5</v>
      </c>
      <c r="G24" s="28">
        <f>SUM(D24:F24)</f>
        <v>62897</v>
      </c>
      <c r="H24" s="29">
        <f>SUM(H15:H21)</f>
        <v>188.6</v>
      </c>
      <c r="I24" s="29">
        <f>SUM(I15:I21)</f>
        <v>63085.599999999999</v>
      </c>
      <c r="J24" s="26">
        <f>SUM(J15:J21)</f>
        <v>6541.8</v>
      </c>
      <c r="K24" s="27">
        <f>SUM(K15:K21)</f>
        <v>60001.2</v>
      </c>
      <c r="L24" s="27">
        <f>SUM(L15:L21)</f>
        <v>4557</v>
      </c>
      <c r="M24" s="28">
        <f>SUM(J24:L24)</f>
        <v>71100</v>
      </c>
      <c r="N24" s="29">
        <f>SUM(N15:N21)</f>
        <v>0</v>
      </c>
      <c r="O24" s="29">
        <f>SUM(O15:O21)</f>
        <v>71100</v>
      </c>
      <c r="P24" s="26">
        <f>SUM(P15:P21)</f>
        <v>3489.5</v>
      </c>
      <c r="Q24" s="27">
        <f>SUM(Q15:Q21)</f>
        <v>29902.9</v>
      </c>
      <c r="R24" s="27">
        <f>SUM(R15:R21)</f>
        <v>1425.6</v>
      </c>
      <c r="S24" s="28">
        <f>SUM(P24:R24)</f>
        <v>34818</v>
      </c>
      <c r="T24" s="29">
        <f>SUM(T15:T21)</f>
        <v>158.5</v>
      </c>
      <c r="U24" s="29">
        <f>SUM(U15:U21)</f>
        <v>35677.4</v>
      </c>
      <c r="V24" s="26">
        <f>SUM(V15:V21)</f>
        <v>7551.1</v>
      </c>
      <c r="W24" s="27">
        <f>SUM(W15:W21)</f>
        <v>60001.2</v>
      </c>
      <c r="X24" s="27">
        <f>SUM(X15:X21)</f>
        <v>4957</v>
      </c>
      <c r="Y24" s="28">
        <f>SUM(V24:X24)</f>
        <v>72509.3</v>
      </c>
      <c r="Z24" s="29">
        <f>SUM(Z15:Z21)</f>
        <v>0</v>
      </c>
      <c r="AA24" s="29">
        <f>SUM(AA15:AA21)</f>
        <v>72509.3</v>
      </c>
      <c r="AB24" s="151">
        <f t="shared" si="8"/>
        <v>1.0198213783403658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462" t="s">
        <v>68</v>
      </c>
      <c r="K25" s="463"/>
      <c r="L25" s="463"/>
      <c r="M25" s="464"/>
      <c r="N25" s="464"/>
      <c r="O25" s="46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466" t="s">
        <v>69</v>
      </c>
      <c r="K26" s="467"/>
      <c r="L26" s="467"/>
      <c r="M26" s="468" t="s">
        <v>64</v>
      </c>
      <c r="N26" s="469" t="s">
        <v>67</v>
      </c>
      <c r="O26" s="470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471" t="s">
        <v>54</v>
      </c>
      <c r="K27" s="472" t="s">
        <v>55</v>
      </c>
      <c r="L27" s="473" t="s">
        <v>56</v>
      </c>
      <c r="M27" s="474"/>
      <c r="N27" s="475"/>
      <c r="O27" s="47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438.4</v>
      </c>
      <c r="E28" s="72"/>
      <c r="F28" s="72"/>
      <c r="G28" s="73">
        <f>SUM(D28:F28)</f>
        <v>438.4</v>
      </c>
      <c r="H28" s="73">
        <v>1.1000000000000001</v>
      </c>
      <c r="I28" s="37">
        <f>G28+H28</f>
        <v>439.5</v>
      </c>
      <c r="J28" s="80">
        <v>385</v>
      </c>
      <c r="K28" s="72"/>
      <c r="L28" s="72">
        <v>110</v>
      </c>
      <c r="M28" s="73">
        <f>SUM(J28:L28)</f>
        <v>495</v>
      </c>
      <c r="N28" s="73"/>
      <c r="O28" s="37">
        <f>M28+N28</f>
        <v>495</v>
      </c>
      <c r="P28" s="80">
        <v>177.3</v>
      </c>
      <c r="Q28" s="72"/>
      <c r="R28" s="72">
        <v>15.9</v>
      </c>
      <c r="S28" s="73">
        <f>SUM(P28:R28)</f>
        <v>193.20000000000002</v>
      </c>
      <c r="T28" s="73"/>
      <c r="U28" s="37">
        <f>S28+T28</f>
        <v>193.20000000000002</v>
      </c>
      <c r="V28" s="80">
        <v>423</v>
      </c>
      <c r="W28" s="72"/>
      <c r="X28" s="72">
        <v>120</v>
      </c>
      <c r="Y28" s="73">
        <f>SUM(V28:X28)</f>
        <v>543</v>
      </c>
      <c r="Z28" s="73"/>
      <c r="AA28" s="37">
        <f>Y28+Z28</f>
        <v>543</v>
      </c>
      <c r="AB28" s="147">
        <f t="shared" ref="AB28:AB41" si="12">(AA28/O28)</f>
        <v>1.0969696969696969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74">
        <v>516.20000000000005</v>
      </c>
      <c r="E29" s="74">
        <v>763.8</v>
      </c>
      <c r="F29" s="74">
        <v>2007.3</v>
      </c>
      <c r="G29" s="75">
        <f t="shared" ref="G29:G38" si="13">SUM(D29:F29)</f>
        <v>3287.3</v>
      </c>
      <c r="H29" s="76"/>
      <c r="I29" s="14">
        <f t="shared" ref="I29:I38" si="14">G29+H29</f>
        <v>3287.3</v>
      </c>
      <c r="J29" s="81">
        <v>1058</v>
      </c>
      <c r="K29" s="74"/>
      <c r="L29" s="74">
        <v>1950</v>
      </c>
      <c r="M29" s="75">
        <f t="shared" ref="M29:M38" si="15">SUM(J29:L29)</f>
        <v>3008</v>
      </c>
      <c r="N29" s="76"/>
      <c r="O29" s="14">
        <f t="shared" ref="O29:O38" si="16">M29+N29</f>
        <v>3008</v>
      </c>
      <c r="P29" s="81">
        <v>292.60000000000002</v>
      </c>
      <c r="Q29" s="74">
        <v>340.5</v>
      </c>
      <c r="R29" s="74">
        <v>1305.5</v>
      </c>
      <c r="S29" s="75">
        <f t="shared" ref="S29:S38" si="17">SUM(P29:R29)</f>
        <v>1938.6</v>
      </c>
      <c r="T29" s="76"/>
      <c r="U29" s="14">
        <f t="shared" ref="U29:U38" si="18">S29+T29</f>
        <v>1938.6</v>
      </c>
      <c r="V29" s="81">
        <v>1258.2</v>
      </c>
      <c r="W29" s="74"/>
      <c r="X29" s="74">
        <v>2145</v>
      </c>
      <c r="Y29" s="75">
        <f t="shared" ref="Y29:Y38" si="19">SUM(V29:X29)</f>
        <v>3403.2</v>
      </c>
      <c r="Z29" s="76"/>
      <c r="AA29" s="14">
        <f t="shared" ref="AA29:AA38" si="20">Y29+Z29</f>
        <v>3403.2</v>
      </c>
      <c r="AB29" s="147">
        <f t="shared" si="12"/>
        <v>1.1313829787234042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2241</v>
      </c>
      <c r="E30" s="77"/>
      <c r="F30" s="77"/>
      <c r="G30" s="75">
        <f t="shared" si="13"/>
        <v>2241</v>
      </c>
      <c r="H30" s="75">
        <v>87.4</v>
      </c>
      <c r="I30" s="14">
        <f t="shared" si="14"/>
        <v>2328.4</v>
      </c>
      <c r="J30" s="82">
        <v>2911.1</v>
      </c>
      <c r="K30" s="77"/>
      <c r="L30" s="77">
        <v>210</v>
      </c>
      <c r="M30" s="75">
        <f t="shared" si="15"/>
        <v>3121.1</v>
      </c>
      <c r="N30" s="75"/>
      <c r="O30" s="14">
        <f t="shared" si="16"/>
        <v>3121.1</v>
      </c>
      <c r="P30" s="82">
        <v>1509.7</v>
      </c>
      <c r="Q30" s="77"/>
      <c r="R30" s="77"/>
      <c r="S30" s="75">
        <f t="shared" si="17"/>
        <v>1509.7</v>
      </c>
      <c r="T30" s="75"/>
      <c r="U30" s="14">
        <f t="shared" si="18"/>
        <v>1509.7</v>
      </c>
      <c r="V30" s="82">
        <v>2911.1</v>
      </c>
      <c r="W30" s="77"/>
      <c r="X30" s="77">
        <v>240</v>
      </c>
      <c r="Y30" s="75">
        <f t="shared" si="19"/>
        <v>3151.1</v>
      </c>
      <c r="Z30" s="75"/>
      <c r="AA30" s="14">
        <f t="shared" si="20"/>
        <v>3151.1</v>
      </c>
      <c r="AB30" s="147">
        <f t="shared" si="12"/>
        <v>1.0096119957707219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751.5</v>
      </c>
      <c r="E31" s="77">
        <v>889.6</v>
      </c>
      <c r="F31" s="77">
        <v>46.2</v>
      </c>
      <c r="G31" s="75">
        <f t="shared" si="13"/>
        <v>1687.3</v>
      </c>
      <c r="H31" s="75"/>
      <c r="I31" s="14">
        <f t="shared" si="14"/>
        <v>1687.3</v>
      </c>
      <c r="J31" s="82">
        <v>679.1</v>
      </c>
      <c r="K31" s="77"/>
      <c r="L31" s="77">
        <v>1180</v>
      </c>
      <c r="M31" s="75">
        <f t="shared" si="15"/>
        <v>1859.1</v>
      </c>
      <c r="N31" s="75"/>
      <c r="O31" s="14">
        <f t="shared" si="16"/>
        <v>1859.1</v>
      </c>
      <c r="P31" s="82">
        <v>467.5</v>
      </c>
      <c r="Q31" s="77">
        <v>792.6</v>
      </c>
      <c r="R31" s="77"/>
      <c r="S31" s="75">
        <f t="shared" si="17"/>
        <v>1260.0999999999999</v>
      </c>
      <c r="T31" s="75"/>
      <c r="U31" s="14">
        <f t="shared" si="18"/>
        <v>1260.0999999999999</v>
      </c>
      <c r="V31" s="82">
        <v>1247</v>
      </c>
      <c r="W31" s="77"/>
      <c r="X31" s="77">
        <v>1298</v>
      </c>
      <c r="Y31" s="75">
        <f t="shared" si="19"/>
        <v>2545</v>
      </c>
      <c r="Z31" s="75"/>
      <c r="AA31" s="14">
        <f t="shared" si="20"/>
        <v>2545</v>
      </c>
      <c r="AB31" s="147">
        <f t="shared" si="12"/>
        <v>1.3689419611640041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499">
        <v>235.3</v>
      </c>
      <c r="E32" s="77">
        <v>51429</v>
      </c>
      <c r="F32" s="77"/>
      <c r="G32" s="75">
        <f t="shared" si="13"/>
        <v>51664.3</v>
      </c>
      <c r="H32" s="75"/>
      <c r="I32" s="14">
        <f t="shared" si="14"/>
        <v>51664.3</v>
      </c>
      <c r="J32" s="83">
        <v>243.5</v>
      </c>
      <c r="K32" s="77">
        <v>59000</v>
      </c>
      <c r="L32" s="77"/>
      <c r="M32" s="75">
        <f t="shared" si="15"/>
        <v>59243.5</v>
      </c>
      <c r="N32" s="75"/>
      <c r="O32" s="14">
        <f t="shared" si="16"/>
        <v>59243.5</v>
      </c>
      <c r="P32" s="83"/>
      <c r="Q32" s="77">
        <v>25876.400000000001</v>
      </c>
      <c r="R32" s="77"/>
      <c r="S32" s="75">
        <f t="shared" si="17"/>
        <v>25876.400000000001</v>
      </c>
      <c r="T32" s="75"/>
      <c r="U32" s="14">
        <f t="shared" si="18"/>
        <v>25876.400000000001</v>
      </c>
      <c r="V32" s="83">
        <v>241.1</v>
      </c>
      <c r="W32" s="77">
        <v>59000</v>
      </c>
      <c r="X32" s="77"/>
      <c r="Y32" s="75">
        <f t="shared" si="19"/>
        <v>59241.1</v>
      </c>
      <c r="Z32" s="75"/>
      <c r="AA32" s="14">
        <f t="shared" si="20"/>
        <v>59241.1</v>
      </c>
      <c r="AB32" s="147">
        <f t="shared" si="12"/>
        <v>0.99995948922666622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499">
        <v>173.2</v>
      </c>
      <c r="E33" s="77">
        <v>38169</v>
      </c>
      <c r="F33" s="77"/>
      <c r="G33" s="75">
        <f t="shared" si="13"/>
        <v>38342.199999999997</v>
      </c>
      <c r="H33" s="75"/>
      <c r="I33" s="14">
        <f t="shared" si="14"/>
        <v>38342.199999999997</v>
      </c>
      <c r="J33" s="83">
        <v>180.3</v>
      </c>
      <c r="K33" s="77"/>
      <c r="L33" s="77"/>
      <c r="M33" s="75">
        <f t="shared" si="15"/>
        <v>180.3</v>
      </c>
      <c r="N33" s="75"/>
      <c r="O33" s="14">
        <f t="shared" si="16"/>
        <v>180.3</v>
      </c>
      <c r="P33" s="83"/>
      <c r="Q33" s="77"/>
      <c r="R33" s="77"/>
      <c r="S33" s="75">
        <f t="shared" si="17"/>
        <v>0</v>
      </c>
      <c r="T33" s="75"/>
      <c r="U33" s="14">
        <f t="shared" si="18"/>
        <v>0</v>
      </c>
      <c r="V33" s="83"/>
      <c r="W33" s="77"/>
      <c r="X33" s="77"/>
      <c r="Y33" s="75">
        <f t="shared" si="19"/>
        <v>0</v>
      </c>
      <c r="Z33" s="75"/>
      <c r="AA33" s="14">
        <f t="shared" si="20"/>
        <v>0</v>
      </c>
      <c r="AB33" s="147">
        <f t="shared" si="12"/>
        <v>0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499">
        <v>62</v>
      </c>
      <c r="E34" s="77">
        <v>13259.9</v>
      </c>
      <c r="F34" s="77"/>
      <c r="G34" s="75">
        <f t="shared" si="13"/>
        <v>13321.9</v>
      </c>
      <c r="H34" s="75"/>
      <c r="I34" s="14">
        <f t="shared" si="14"/>
        <v>13321.9</v>
      </c>
      <c r="J34" s="83">
        <v>63.2</v>
      </c>
      <c r="K34" s="77"/>
      <c r="L34" s="77"/>
      <c r="M34" s="75">
        <f>SUM(J34:L34)</f>
        <v>63.2</v>
      </c>
      <c r="N34" s="75"/>
      <c r="O34" s="14">
        <f t="shared" si="16"/>
        <v>63.2</v>
      </c>
      <c r="P34" s="83" t="s">
        <v>87</v>
      </c>
      <c r="Q34" s="77"/>
      <c r="R34" s="77"/>
      <c r="S34" s="75">
        <f t="shared" si="17"/>
        <v>0</v>
      </c>
      <c r="T34" s="75"/>
      <c r="U34" s="14">
        <f t="shared" si="18"/>
        <v>0</v>
      </c>
      <c r="V34" s="83"/>
      <c r="W34" s="77"/>
      <c r="X34" s="77"/>
      <c r="Y34" s="75">
        <f t="shared" si="19"/>
        <v>0</v>
      </c>
      <c r="Z34" s="75"/>
      <c r="AA34" s="14">
        <f t="shared" si="20"/>
        <v>0</v>
      </c>
      <c r="AB34" s="147">
        <f t="shared" si="12"/>
        <v>0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499"/>
      <c r="E35" s="77"/>
      <c r="F35" s="77"/>
      <c r="G35" s="75">
        <f t="shared" si="13"/>
        <v>0</v>
      </c>
      <c r="H35" s="75"/>
      <c r="I35" s="14">
        <f t="shared" si="14"/>
        <v>0</v>
      </c>
      <c r="J35" s="83">
        <v>60</v>
      </c>
      <c r="K35" s="77"/>
      <c r="L35" s="77"/>
      <c r="M35" s="75">
        <f t="shared" si="15"/>
        <v>60</v>
      </c>
      <c r="N35" s="75"/>
      <c r="O35" s="14">
        <f t="shared" si="16"/>
        <v>60</v>
      </c>
      <c r="P35" s="83"/>
      <c r="Q35" s="77">
        <v>470</v>
      </c>
      <c r="R35" s="77"/>
      <c r="S35" s="75">
        <f t="shared" si="17"/>
        <v>470</v>
      </c>
      <c r="T35" s="75"/>
      <c r="U35" s="14">
        <f t="shared" si="18"/>
        <v>470</v>
      </c>
      <c r="V35" s="83"/>
      <c r="W35" s="77"/>
      <c r="X35" s="77"/>
      <c r="Y35" s="75">
        <f>SUM(V35:X35)</f>
        <v>0</v>
      </c>
      <c r="Z35" s="75"/>
      <c r="AA35" s="14">
        <f t="shared" si="20"/>
        <v>0</v>
      </c>
      <c r="AB35" s="147">
        <f t="shared" si="12"/>
        <v>0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/>
      <c r="E36" s="77"/>
      <c r="F36" s="77"/>
      <c r="G36" s="75">
        <f t="shared" si="13"/>
        <v>0</v>
      </c>
      <c r="H36" s="75"/>
      <c r="I36" s="14">
        <f t="shared" si="14"/>
        <v>0</v>
      </c>
      <c r="J36" s="82"/>
      <c r="K36" s="77"/>
      <c r="L36" s="77"/>
      <c r="M36" s="75">
        <f t="shared" si="15"/>
        <v>0</v>
      </c>
      <c r="N36" s="75"/>
      <c r="O36" s="14">
        <f t="shared" si="16"/>
        <v>0</v>
      </c>
      <c r="P36" s="82"/>
      <c r="Q36" s="77"/>
      <c r="R36" s="77"/>
      <c r="S36" s="75">
        <f t="shared" si="17"/>
        <v>0</v>
      </c>
      <c r="T36" s="75"/>
      <c r="U36" s="14">
        <f t="shared" si="18"/>
        <v>0</v>
      </c>
      <c r="V36" s="82"/>
      <c r="W36" s="77"/>
      <c r="X36" s="77"/>
      <c r="Y36" s="75">
        <f t="shared" si="19"/>
        <v>0</v>
      </c>
      <c r="Z36" s="75"/>
      <c r="AA36" s="14">
        <f t="shared" si="20"/>
        <v>0</v>
      </c>
      <c r="AB36" s="147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701.9</v>
      </c>
      <c r="E37" s="77"/>
      <c r="F37" s="77">
        <v>965.2</v>
      </c>
      <c r="G37" s="75">
        <f t="shared" si="13"/>
        <v>1667.1</v>
      </c>
      <c r="H37" s="75"/>
      <c r="I37" s="14">
        <f t="shared" si="14"/>
        <v>1667.1</v>
      </c>
      <c r="J37" s="82">
        <v>671</v>
      </c>
      <c r="K37" s="77"/>
      <c r="L37" s="77">
        <v>957</v>
      </c>
      <c r="M37" s="75">
        <f t="shared" si="15"/>
        <v>1628</v>
      </c>
      <c r="N37" s="75"/>
      <c r="O37" s="14">
        <f t="shared" si="16"/>
        <v>1628</v>
      </c>
      <c r="P37" s="82">
        <v>957</v>
      </c>
      <c r="Q37" s="77"/>
      <c r="R37" s="77"/>
      <c r="S37" s="75">
        <f t="shared" si="17"/>
        <v>957</v>
      </c>
      <c r="T37" s="75"/>
      <c r="U37" s="14">
        <f t="shared" si="18"/>
        <v>957</v>
      </c>
      <c r="V37" s="82">
        <v>821</v>
      </c>
      <c r="W37" s="77"/>
      <c r="X37" s="77">
        <v>957</v>
      </c>
      <c r="Y37" s="75">
        <f t="shared" si="19"/>
        <v>1778</v>
      </c>
      <c r="Z37" s="75"/>
      <c r="AA37" s="14">
        <f t="shared" si="20"/>
        <v>1778</v>
      </c>
      <c r="AB37" s="147">
        <f t="shared" si="12"/>
        <v>1.0921375921375922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78">
        <v>738.9</v>
      </c>
      <c r="E38" s="78">
        <v>973.9</v>
      </c>
      <c r="F38" s="78"/>
      <c r="G38" s="75">
        <f t="shared" si="13"/>
        <v>1712.8</v>
      </c>
      <c r="H38" s="79"/>
      <c r="I38" s="23">
        <f t="shared" si="14"/>
        <v>1712.8</v>
      </c>
      <c r="J38" s="84">
        <v>534.1</v>
      </c>
      <c r="K38" s="78">
        <v>1001.2</v>
      </c>
      <c r="L38" s="78">
        <v>150</v>
      </c>
      <c r="M38" s="79">
        <f t="shared" si="15"/>
        <v>1685.3000000000002</v>
      </c>
      <c r="N38" s="79"/>
      <c r="O38" s="23">
        <f t="shared" si="16"/>
        <v>1685.3000000000002</v>
      </c>
      <c r="P38" s="84"/>
      <c r="Q38" s="78">
        <v>146.6</v>
      </c>
      <c r="R38" s="78"/>
      <c r="S38" s="79">
        <f t="shared" si="17"/>
        <v>146.6</v>
      </c>
      <c r="T38" s="79"/>
      <c r="U38" s="23">
        <f t="shared" si="18"/>
        <v>146.6</v>
      </c>
      <c r="V38" s="84">
        <v>649.70000000000005</v>
      </c>
      <c r="W38" s="78">
        <v>1001.2</v>
      </c>
      <c r="X38" s="78">
        <v>197</v>
      </c>
      <c r="Y38" s="79">
        <f t="shared" si="19"/>
        <v>1847.9</v>
      </c>
      <c r="Z38" s="79"/>
      <c r="AA38" s="23">
        <f t="shared" si="20"/>
        <v>1847.9</v>
      </c>
      <c r="AB38" s="150">
        <f t="shared" si="12"/>
        <v>1.096481338634071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5623.2</v>
      </c>
      <c r="E39" s="42">
        <f>SUM(E35:E38)+SUM(E28:E32)</f>
        <v>54056.3</v>
      </c>
      <c r="F39" s="42">
        <f>SUM(F35:F38)+SUM(F28:F32)</f>
        <v>3018.7</v>
      </c>
      <c r="G39" s="146">
        <f>SUM(D39:F39)</f>
        <v>62698.2</v>
      </c>
      <c r="H39" s="43">
        <f>SUM(H28:H32)+SUM(H35:H38)</f>
        <v>88.5</v>
      </c>
      <c r="I39" s="44">
        <f>SUM(I35:I38)+SUM(I28:I32)</f>
        <v>62786.700000000004</v>
      </c>
      <c r="J39" s="492">
        <f>SUM(J35:J38)+SUM(J28:J32)</f>
        <v>6541.8000000000011</v>
      </c>
      <c r="K39" s="492">
        <f>SUM(K35:K38)+SUM(K28:K32)</f>
        <v>60001.2</v>
      </c>
      <c r="L39" s="492">
        <f>SUM(L35:L38)+SUM(L28:L32)</f>
        <v>4557</v>
      </c>
      <c r="M39" s="493">
        <f>SUM(J39:L39)</f>
        <v>71100</v>
      </c>
      <c r="N39" s="494">
        <f>SUM(N28:N32)+SUM(N35:N38)</f>
        <v>0</v>
      </c>
      <c r="O39" s="495">
        <f>SUM(O35:O38)+SUM(O28:O32)</f>
        <v>71100</v>
      </c>
      <c r="P39" s="42">
        <f>SUM(P35:P38)+SUM(P28:P32)</f>
        <v>3404.1000000000004</v>
      </c>
      <c r="Q39" s="42">
        <f>SUM(Q35:Q38)+SUM(Q28:Q32)</f>
        <v>27626.1</v>
      </c>
      <c r="R39" s="42">
        <f>SUM(R35:R38)+SUM(R28:R32)</f>
        <v>1321.4</v>
      </c>
      <c r="S39" s="146">
        <f>SUM(P39:R39)</f>
        <v>32351.599999999999</v>
      </c>
      <c r="T39" s="43">
        <f>SUM(T28:T32)+SUM(T35:T38)</f>
        <v>0</v>
      </c>
      <c r="U39" s="44">
        <f>SUM(U35:U38)+SUM(U28:U32)</f>
        <v>32351.599999999999</v>
      </c>
      <c r="V39" s="42">
        <f>SUM(V35:V38)+SUM(V28:V32)</f>
        <v>7551.1</v>
      </c>
      <c r="W39" s="42">
        <f>SUM(W35:W38)+SUM(W28:W32)</f>
        <v>60001.2</v>
      </c>
      <c r="X39" s="42">
        <f>SUM(X35:X38)+SUM(X28:X32)</f>
        <v>4957</v>
      </c>
      <c r="Y39" s="146">
        <f>SUM(V39:X39)</f>
        <v>72509.3</v>
      </c>
      <c r="Z39" s="43">
        <f>SUM(Z28:Z32)+SUM(Z35:Z38)</f>
        <v>0</v>
      </c>
      <c r="AA39" s="44">
        <f>SUM(AA35:AA38)+SUM(AA28:AA32)</f>
        <v>72509.299999999988</v>
      </c>
      <c r="AB39" s="152">
        <f t="shared" si="12"/>
        <v>1.0198213783403656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AA40" si="21">D24-D39</f>
        <v>0</v>
      </c>
      <c r="E40" s="109">
        <f t="shared" si="21"/>
        <v>0</v>
      </c>
      <c r="F40" s="109">
        <f t="shared" si="21"/>
        <v>198.80000000000018</v>
      </c>
      <c r="G40" s="118">
        <f t="shared" si="21"/>
        <v>198.80000000000291</v>
      </c>
      <c r="H40" s="118">
        <f t="shared" si="21"/>
        <v>100.1</v>
      </c>
      <c r="I40" s="119">
        <f t="shared" si="21"/>
        <v>298.89999999999418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496">
        <f t="shared" si="21"/>
        <v>0</v>
      </c>
      <c r="N40" s="496">
        <f t="shared" si="21"/>
        <v>0</v>
      </c>
      <c r="O40" s="497">
        <f t="shared" si="21"/>
        <v>0</v>
      </c>
      <c r="P40" s="109">
        <f t="shared" si="21"/>
        <v>85.399999999999636</v>
      </c>
      <c r="Q40" s="109">
        <f t="shared" si="21"/>
        <v>2276.8000000000029</v>
      </c>
      <c r="R40" s="109">
        <f t="shared" si="21"/>
        <v>104.19999999999982</v>
      </c>
      <c r="S40" s="118">
        <f t="shared" si="21"/>
        <v>2466.4000000000015</v>
      </c>
      <c r="T40" s="118">
        <f t="shared" si="21"/>
        <v>158.5</v>
      </c>
      <c r="U40" s="119">
        <f t="shared" si="21"/>
        <v>3325.8000000000029</v>
      </c>
      <c r="V40" s="109">
        <f t="shared" si="21"/>
        <v>0</v>
      </c>
      <c r="W40" s="109">
        <f t="shared" si="21"/>
        <v>0</v>
      </c>
      <c r="X40" s="109">
        <f t="shared" si="21"/>
        <v>0</v>
      </c>
      <c r="Y40" s="118">
        <f t="shared" si="21"/>
        <v>0</v>
      </c>
      <c r="Z40" s="118">
        <f t="shared" si="21"/>
        <v>0</v>
      </c>
      <c r="AA40" s="119">
        <f t="shared" si="21"/>
        <v>0</v>
      </c>
      <c r="AB40" s="153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-4995.6000000000058</v>
      </c>
      <c r="J41" s="112"/>
      <c r="K41" s="113"/>
      <c r="L41" s="113"/>
      <c r="M41" s="114"/>
      <c r="N41" s="117"/>
      <c r="O41" s="116">
        <f>O40-J16</f>
        <v>-6209.2</v>
      </c>
      <c r="P41" s="112"/>
      <c r="Q41" s="113"/>
      <c r="R41" s="113"/>
      <c r="S41" s="114"/>
      <c r="T41" s="117"/>
      <c r="U41" s="116">
        <f>U40-P16</f>
        <v>168.90000000000282</v>
      </c>
      <c r="V41" s="112"/>
      <c r="W41" s="113"/>
      <c r="X41" s="113"/>
      <c r="Y41" s="114"/>
      <c r="Z41" s="117"/>
      <c r="AA41" s="116">
        <f>AA40-V16</f>
        <v>-6715.6</v>
      </c>
      <c r="AB41" s="147">
        <f t="shared" si="12"/>
        <v>1.0815564001803777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>
        <v>289</v>
      </c>
      <c r="E44" s="104">
        <v>289</v>
      </c>
      <c r="F44" s="105">
        <v>0</v>
      </c>
      <c r="G44" s="49"/>
      <c r="H44" s="49"/>
      <c r="I44" s="50"/>
      <c r="J44" s="94">
        <v>393</v>
      </c>
      <c r="K44" s="104">
        <v>393</v>
      </c>
      <c r="L44" s="105">
        <v>0</v>
      </c>
      <c r="M44" s="93"/>
      <c r="N44" s="93"/>
      <c r="O44" s="93"/>
      <c r="P44" s="94">
        <v>196.5</v>
      </c>
      <c r="Q44" s="104">
        <v>196.5</v>
      </c>
      <c r="R44" s="105">
        <v>0</v>
      </c>
      <c r="S44" s="4"/>
      <c r="T44" s="4"/>
      <c r="U44" s="4"/>
      <c r="V44" s="94">
        <v>393</v>
      </c>
      <c r="W44" s="104">
        <v>393</v>
      </c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94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241</v>
      </c>
      <c r="D50" s="85">
        <v>369.9</v>
      </c>
      <c r="E50" s="85">
        <v>0</v>
      </c>
      <c r="F50" s="85">
        <v>0</v>
      </c>
      <c r="G50" s="52">
        <f>D50+E50-F50</f>
        <v>369.9</v>
      </c>
      <c r="H50" s="49"/>
      <c r="I50" s="4"/>
      <c r="J50" s="52">
        <v>369.9</v>
      </c>
      <c r="K50" s="85">
        <v>239</v>
      </c>
      <c r="L50" s="85"/>
      <c r="M50" s="52">
        <f>J50+K50-L50</f>
        <v>608.9</v>
      </c>
      <c r="N50" s="4"/>
      <c r="O50" s="4"/>
      <c r="P50" s="85">
        <v>369.9</v>
      </c>
      <c r="Q50" s="85">
        <v>239</v>
      </c>
      <c r="R50" s="85"/>
      <c r="S50" s="52">
        <f>P50+Q50-R50</f>
        <v>608.9</v>
      </c>
      <c r="T50" s="4"/>
      <c r="U50" s="4"/>
      <c r="V50" s="85">
        <v>608.9</v>
      </c>
      <c r="W50" s="85"/>
      <c r="X50" s="85"/>
      <c r="Y50" s="52">
        <f>V50+W50-X50</f>
        <v>608.9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242</v>
      </c>
      <c r="D51" s="85">
        <v>883.5</v>
      </c>
      <c r="E51" s="85">
        <v>1560.7</v>
      </c>
      <c r="F51" s="85">
        <v>787.4</v>
      </c>
      <c r="G51" s="52">
        <f t="shared" ref="G51:G54" si="22">D51+E51-F51</f>
        <v>1656.7999999999997</v>
      </c>
      <c r="H51" s="49"/>
      <c r="I51" s="4"/>
      <c r="J51" s="52">
        <v>1656.8</v>
      </c>
      <c r="K51" s="85"/>
      <c r="L51" s="85">
        <v>1560</v>
      </c>
      <c r="M51" s="52">
        <f t="shared" ref="M51:M54" si="23">J51+K51-L51</f>
        <v>96.799999999999955</v>
      </c>
      <c r="N51" s="4"/>
      <c r="O51" s="4"/>
      <c r="P51" s="85">
        <v>1656.8</v>
      </c>
      <c r="Q51" s="85"/>
      <c r="R51" s="85">
        <v>1560</v>
      </c>
      <c r="S51" s="52">
        <f t="shared" ref="S51:S54" si="24">P51+Q51-R51</f>
        <v>96.799999999999955</v>
      </c>
      <c r="T51" s="4"/>
      <c r="U51" s="4"/>
      <c r="V51" s="85">
        <v>96.8</v>
      </c>
      <c r="W51" s="85">
        <v>2000</v>
      </c>
      <c r="X51" s="85">
        <v>2000</v>
      </c>
      <c r="Y51" s="52">
        <f t="shared" ref="Y51:Y54" si="25">V51+W51-X51</f>
        <v>96.800000000000182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2019.4</v>
      </c>
      <c r="E52" s="85">
        <v>701.6</v>
      </c>
      <c r="F52" s="85">
        <v>1349.8</v>
      </c>
      <c r="G52" s="52">
        <f t="shared" si="22"/>
        <v>1371.2</v>
      </c>
      <c r="H52" s="49"/>
      <c r="I52" s="4"/>
      <c r="J52" s="52">
        <v>1371.2</v>
      </c>
      <c r="K52" s="85">
        <v>950</v>
      </c>
      <c r="L52" s="85">
        <v>500</v>
      </c>
      <c r="M52" s="52">
        <f t="shared" si="23"/>
        <v>1821.1999999999998</v>
      </c>
      <c r="N52" s="4"/>
      <c r="O52" s="4"/>
      <c r="P52" s="85">
        <v>1371.2</v>
      </c>
      <c r="Q52" s="85">
        <v>475</v>
      </c>
      <c r="R52" s="85">
        <v>300</v>
      </c>
      <c r="S52" s="52">
        <f t="shared" si="24"/>
        <v>1546.2</v>
      </c>
      <c r="T52" s="4"/>
      <c r="U52" s="4"/>
      <c r="V52" s="85">
        <v>1821.2</v>
      </c>
      <c r="W52" s="85">
        <v>950</v>
      </c>
      <c r="X52" s="85">
        <v>500</v>
      </c>
      <c r="Y52" s="52">
        <f t="shared" si="25"/>
        <v>2271.1999999999998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63</v>
      </c>
      <c r="E53" s="85">
        <v>0</v>
      </c>
      <c r="F53" s="85">
        <v>17.3</v>
      </c>
      <c r="G53" s="52">
        <f t="shared" si="22"/>
        <v>45.7</v>
      </c>
      <c r="H53" s="49"/>
      <c r="I53" s="4"/>
      <c r="J53" s="52">
        <v>45.7</v>
      </c>
      <c r="K53" s="85">
        <v>59.7</v>
      </c>
      <c r="L53" s="85">
        <v>50</v>
      </c>
      <c r="M53" s="52">
        <f t="shared" si="23"/>
        <v>55.400000000000006</v>
      </c>
      <c r="N53" s="4"/>
      <c r="O53" s="4"/>
      <c r="P53" s="85">
        <v>45.7</v>
      </c>
      <c r="Q53" s="85">
        <v>59.7</v>
      </c>
      <c r="R53" s="85">
        <v>50</v>
      </c>
      <c r="S53" s="52">
        <f t="shared" si="24"/>
        <v>55.400000000000006</v>
      </c>
      <c r="T53" s="4"/>
      <c r="U53" s="4"/>
      <c r="V53" s="85">
        <v>55.4</v>
      </c>
      <c r="W53" s="85"/>
      <c r="X53" s="85"/>
      <c r="Y53" s="52">
        <f t="shared" si="25"/>
        <v>55.4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786.7</v>
      </c>
      <c r="E54" s="85">
        <v>740.5</v>
      </c>
      <c r="F54" s="85">
        <v>914.7</v>
      </c>
      <c r="G54" s="52">
        <f t="shared" si="22"/>
        <v>612.5</v>
      </c>
      <c r="H54" s="49"/>
      <c r="I54" s="4"/>
      <c r="J54" s="52">
        <v>612.5</v>
      </c>
      <c r="K54" s="85">
        <v>760</v>
      </c>
      <c r="L54" s="85">
        <v>950</v>
      </c>
      <c r="M54" s="52">
        <f t="shared" si="23"/>
        <v>422.5</v>
      </c>
      <c r="N54" s="4"/>
      <c r="O54" s="4"/>
      <c r="P54" s="85">
        <v>612.5</v>
      </c>
      <c r="Q54" s="85">
        <v>370</v>
      </c>
      <c r="R54" s="85">
        <v>426</v>
      </c>
      <c r="S54" s="52">
        <f t="shared" si="24"/>
        <v>556.5</v>
      </c>
      <c r="T54" s="4"/>
      <c r="U54" s="4"/>
      <c r="V54" s="85">
        <v>556.5</v>
      </c>
      <c r="W54" s="85">
        <v>370</v>
      </c>
      <c r="X54" s="85">
        <v>500</v>
      </c>
      <c r="Y54" s="52">
        <f t="shared" si="25"/>
        <v>426.5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73</v>
      </c>
      <c r="E57" s="86">
        <v>76</v>
      </c>
      <c r="F57" s="49"/>
      <c r="G57" s="49"/>
      <c r="H57" s="49"/>
      <c r="I57" s="50"/>
      <c r="J57" s="86">
        <v>76</v>
      </c>
      <c r="K57" s="49"/>
      <c r="L57" s="49"/>
      <c r="M57" s="49"/>
      <c r="N57" s="49"/>
      <c r="O57" s="50"/>
      <c r="P57" s="86">
        <v>76</v>
      </c>
      <c r="Q57" s="50"/>
      <c r="R57" s="50"/>
      <c r="S57" s="50"/>
      <c r="T57" s="50"/>
      <c r="U57" s="50"/>
      <c r="V57" s="86">
        <v>76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 t="s">
        <v>243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 t="s">
        <v>244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87"/>
      <c r="B69" s="138"/>
      <c r="C69" s="137"/>
      <c r="D69" s="138"/>
      <c r="E69" s="138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25">
      <c r="A70" s="87"/>
      <c r="B70" s="138"/>
      <c r="C70" s="137"/>
      <c r="D70" s="138"/>
      <c r="E70" s="138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4"/>
      <c r="W70" s="4"/>
      <c r="X70" s="4"/>
      <c r="Y70" s="4"/>
      <c r="Z70" s="4"/>
      <c r="AA70" s="4"/>
      <c r="AB70" s="4"/>
      <c r="AC70" s="4"/>
      <c r="AD70" s="4"/>
    </row>
    <row r="71" spans="1:30" x14ac:dyDescent="0.25">
      <c r="A71" s="5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25">
      <c r="A72" s="5"/>
      <c r="B72" s="53" t="s">
        <v>80</v>
      </c>
      <c r="C72" s="120">
        <v>45141</v>
      </c>
      <c r="D72" s="53" t="s">
        <v>76</v>
      </c>
      <c r="E72" s="218" t="s">
        <v>245</v>
      </c>
      <c r="F72" s="218"/>
      <c r="G72" s="218"/>
      <c r="H72" s="53"/>
      <c r="I72" s="53" t="s">
        <v>77</v>
      </c>
      <c r="J72" s="222" t="s">
        <v>246</v>
      </c>
      <c r="K72" s="222"/>
      <c r="L72" s="222"/>
      <c r="M72" s="222"/>
      <c r="N72" s="53"/>
      <c r="O72" s="53"/>
      <c r="P72" s="53"/>
      <c r="Q72" s="53"/>
      <c r="R72" s="53"/>
      <c r="S72" s="53"/>
      <c r="T72" s="53"/>
      <c r="U72" s="53"/>
      <c r="V72" s="4"/>
      <c r="W72" s="4"/>
      <c r="X72" s="4"/>
      <c r="Y72" s="4"/>
      <c r="Z72" s="4"/>
      <c r="AA72" s="4"/>
      <c r="AB72" s="4"/>
      <c r="AC72" s="4"/>
      <c r="AD72" s="4"/>
    </row>
    <row r="73" spans="1:30" ht="7.5" customHeight="1" x14ac:dyDescent="0.25">
      <c r="A73" s="5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25">
      <c r="A74" s="5"/>
      <c r="B74" s="53"/>
      <c r="C74" s="53"/>
      <c r="D74" s="53" t="s">
        <v>79</v>
      </c>
      <c r="E74" s="55"/>
      <c r="F74" s="55"/>
      <c r="G74" s="55"/>
      <c r="H74" s="53"/>
      <c r="I74" s="53" t="s">
        <v>79</v>
      </c>
      <c r="J74" s="54"/>
      <c r="K74" s="54"/>
      <c r="L74" s="54"/>
      <c r="M74" s="54"/>
      <c r="N74" s="53"/>
      <c r="O74" s="53"/>
      <c r="P74" s="53"/>
      <c r="Q74" s="53"/>
      <c r="R74" s="53"/>
      <c r="S74" s="53"/>
      <c r="T74" s="53"/>
      <c r="U74" s="53"/>
      <c r="V74" s="4"/>
      <c r="W74" s="4"/>
      <c r="X74" s="4"/>
      <c r="Y74" s="4"/>
      <c r="Z74" s="4"/>
      <c r="AA74" s="4"/>
      <c r="AB74" s="4"/>
      <c r="AC74" s="4"/>
      <c r="AD74" s="4"/>
    </row>
    <row r="75" spans="1:30" x14ac:dyDescent="0.25">
      <c r="A75" s="5"/>
      <c r="B75" s="53"/>
      <c r="C75" s="53"/>
      <c r="D75" s="53"/>
      <c r="E75" s="55"/>
      <c r="F75" s="55"/>
      <c r="G75" s="55"/>
      <c r="H75" s="53"/>
      <c r="I75" s="53"/>
      <c r="J75" s="54"/>
      <c r="K75" s="54"/>
      <c r="L75" s="54"/>
      <c r="M75" s="54"/>
      <c r="N75" s="53"/>
      <c r="O75" s="53"/>
      <c r="P75" s="53"/>
      <c r="Q75" s="53"/>
      <c r="R75" s="53"/>
      <c r="S75" s="53"/>
      <c r="T75" s="53"/>
      <c r="U75" s="53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25">
      <c r="A76" s="5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25">
      <c r="A77" s="5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4"/>
      <c r="W77" s="4"/>
      <c r="X77" s="4"/>
      <c r="Y77" s="4"/>
      <c r="Z77" s="4"/>
      <c r="AA77" s="4"/>
      <c r="AB77" s="4"/>
      <c r="AC77" s="4"/>
      <c r="AD77" s="4"/>
    </row>
    <row r="78" spans="1:30" hidden="1" x14ac:dyDescent="0.25">
      <c r="AC78" s="3"/>
      <c r="AD78" s="3"/>
    </row>
    <row r="79" spans="1:30" hidden="1" x14ac:dyDescent="0.25"/>
    <row r="80" spans="1:3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</sheetData>
  <mergeCells count="64">
    <mergeCell ref="B62:U62"/>
    <mergeCell ref="B63:U63"/>
    <mergeCell ref="E72:G72"/>
    <mergeCell ref="J72:M72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19" priority="3" operator="equal">
      <formula>0</formula>
    </cfRule>
    <cfRule type="containsErrors" dxfId="18" priority="4">
      <formula>ISERROR(AB15)</formula>
    </cfRule>
  </conditionalFormatting>
  <conditionalFormatting sqref="AB28:AB41">
    <cfRule type="cellIs" dxfId="17" priority="1" operator="equal">
      <formula>0</formula>
    </cfRule>
    <cfRule type="containsErrors" dxfId="16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57" zoomScaleNormal="57" zoomScaleSheetLayoutView="80" workbookViewId="0">
      <selection activeCell="V39" sqref="V3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bestFit="1" customWidth="1"/>
    <col min="8" max="8" width="14.140625" customWidth="1"/>
    <col min="9" max="9" width="11.28515625" customWidth="1"/>
    <col min="10" max="10" width="16.140625" customWidth="1"/>
    <col min="11" max="11" width="17.85546875" customWidth="1"/>
    <col min="12" max="12" width="13.7109375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customWidth="1"/>
    <col min="22" max="22" width="16.140625" customWidth="1"/>
    <col min="23" max="23" width="14.140625" customWidth="1"/>
    <col min="24" max="24" width="13.140625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234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46789707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429" t="s">
        <v>235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758" t="s">
        <v>100</v>
      </c>
      <c r="E10" s="759"/>
      <c r="F10" s="759"/>
      <c r="G10" s="759"/>
      <c r="H10" s="759"/>
      <c r="I10" s="760"/>
      <c r="J10" s="758" t="s">
        <v>101</v>
      </c>
      <c r="K10" s="759"/>
      <c r="L10" s="759"/>
      <c r="M10" s="759"/>
      <c r="N10" s="759"/>
      <c r="O10" s="760"/>
      <c r="P10" s="758" t="s">
        <v>102</v>
      </c>
      <c r="Q10" s="759"/>
      <c r="R10" s="759"/>
      <c r="S10" s="759"/>
      <c r="T10" s="759"/>
      <c r="U10" s="760"/>
      <c r="V10" s="758" t="s">
        <v>103</v>
      </c>
      <c r="W10" s="759"/>
      <c r="X10" s="759"/>
      <c r="Y10" s="759"/>
      <c r="Z10" s="759"/>
      <c r="AA10" s="760"/>
      <c r="AB10" s="761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762" t="s">
        <v>39</v>
      </c>
      <c r="W11" s="763"/>
      <c r="X11" s="763"/>
      <c r="Y11" s="764"/>
      <c r="Z11" s="765" t="s">
        <v>40</v>
      </c>
      <c r="AA11" s="765" t="s">
        <v>61</v>
      </c>
      <c r="AB11" s="766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767" t="s">
        <v>62</v>
      </c>
      <c r="W12" s="768"/>
      <c r="X12" s="768"/>
      <c r="Y12" s="768"/>
      <c r="Z12" s="768"/>
      <c r="AA12" s="769"/>
      <c r="AB12" s="766"/>
      <c r="AC12" s="4"/>
      <c r="AD12" s="4"/>
    </row>
    <row r="13" spans="1:30" ht="15.75" customHeight="1" thickBot="1" x14ac:dyDescent="0.3">
      <c r="A13" s="5"/>
      <c r="B13" s="212"/>
      <c r="C13" s="230"/>
      <c r="D13" s="770" t="s">
        <v>57</v>
      </c>
      <c r="E13" s="771"/>
      <c r="F13" s="771"/>
      <c r="G13" s="772" t="s">
        <v>63</v>
      </c>
      <c r="H13" s="773" t="s">
        <v>66</v>
      </c>
      <c r="I13" s="774" t="s">
        <v>62</v>
      </c>
      <c r="J13" s="770" t="s">
        <v>57</v>
      </c>
      <c r="K13" s="771"/>
      <c r="L13" s="771"/>
      <c r="M13" s="772" t="s">
        <v>63</v>
      </c>
      <c r="N13" s="773" t="s">
        <v>66</v>
      </c>
      <c r="O13" s="774" t="s">
        <v>62</v>
      </c>
      <c r="P13" s="770" t="s">
        <v>57</v>
      </c>
      <c r="Q13" s="771"/>
      <c r="R13" s="771"/>
      <c r="S13" s="772" t="s">
        <v>63</v>
      </c>
      <c r="T13" s="773" t="s">
        <v>66</v>
      </c>
      <c r="U13" s="774" t="s">
        <v>62</v>
      </c>
      <c r="V13" s="770" t="s">
        <v>57</v>
      </c>
      <c r="W13" s="771"/>
      <c r="X13" s="771"/>
      <c r="Y13" s="772" t="s">
        <v>63</v>
      </c>
      <c r="Z13" s="773" t="s">
        <v>66</v>
      </c>
      <c r="AA13" s="774" t="s">
        <v>62</v>
      </c>
      <c r="AB13" s="766"/>
      <c r="AC13" s="4"/>
      <c r="AD13" s="4"/>
    </row>
    <row r="14" spans="1:30" ht="15.75" thickBot="1" x14ac:dyDescent="0.3">
      <c r="A14" s="5"/>
      <c r="B14" s="10"/>
      <c r="C14" s="11"/>
      <c r="D14" s="775" t="s">
        <v>58</v>
      </c>
      <c r="E14" s="776" t="s">
        <v>90</v>
      </c>
      <c r="F14" s="776" t="s">
        <v>59</v>
      </c>
      <c r="G14" s="777"/>
      <c r="H14" s="778"/>
      <c r="I14" s="779"/>
      <c r="J14" s="775" t="s">
        <v>58</v>
      </c>
      <c r="K14" s="776" t="s">
        <v>90</v>
      </c>
      <c r="L14" s="776" t="s">
        <v>59</v>
      </c>
      <c r="M14" s="777"/>
      <c r="N14" s="778"/>
      <c r="O14" s="779"/>
      <c r="P14" s="775" t="s">
        <v>58</v>
      </c>
      <c r="Q14" s="776" t="s">
        <v>90</v>
      </c>
      <c r="R14" s="776" t="s">
        <v>59</v>
      </c>
      <c r="S14" s="777"/>
      <c r="T14" s="778"/>
      <c r="U14" s="779"/>
      <c r="V14" s="775" t="s">
        <v>58</v>
      </c>
      <c r="W14" s="776" t="s">
        <v>90</v>
      </c>
      <c r="X14" s="776" t="s">
        <v>59</v>
      </c>
      <c r="Y14" s="777"/>
      <c r="Z14" s="778"/>
      <c r="AA14" s="779"/>
      <c r="AB14" s="780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781"/>
      <c r="E15" s="782"/>
      <c r="F15" s="783">
        <v>2269.4870000000001</v>
      </c>
      <c r="G15" s="784">
        <f>SUM(D15:F15)</f>
        <v>2269.4870000000001</v>
      </c>
      <c r="H15" s="785">
        <v>191.72</v>
      </c>
      <c r="I15" s="786">
        <f>G15+H15</f>
        <v>2461.2069999999999</v>
      </c>
      <c r="J15" s="787"/>
      <c r="K15" s="788"/>
      <c r="L15" s="789">
        <v>1000</v>
      </c>
      <c r="M15" s="790">
        <f t="shared" ref="M15:M23" si="0">SUM(J15:L15)</f>
        <v>1000</v>
      </c>
      <c r="N15" s="791">
        <v>100</v>
      </c>
      <c r="O15" s="792">
        <f>M15+N15</f>
        <v>1100</v>
      </c>
      <c r="P15" s="781"/>
      <c r="Q15" s="782"/>
      <c r="R15" s="783">
        <v>1503.4</v>
      </c>
      <c r="S15" s="784">
        <f>SUM(P15:R15)</f>
        <v>1503.4</v>
      </c>
      <c r="T15" s="785">
        <v>95.7</v>
      </c>
      <c r="U15" s="786">
        <f>S15+T15</f>
        <v>1599.1000000000001</v>
      </c>
      <c r="V15" s="781"/>
      <c r="W15" s="782"/>
      <c r="X15" s="783">
        <v>2000</v>
      </c>
      <c r="Y15" s="784">
        <f>SUM(V15:X15)</f>
        <v>2000</v>
      </c>
      <c r="Z15" s="785">
        <v>200</v>
      </c>
      <c r="AA15" s="786">
        <f>Y15+Z15</f>
        <v>2200</v>
      </c>
      <c r="AB15" s="147">
        <f>(AA15/O15)</f>
        <v>2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654">
        <v>5053</v>
      </c>
      <c r="E16" s="793"/>
      <c r="F16" s="793"/>
      <c r="G16" s="794">
        <f t="shared" ref="G16:G23" si="1">SUM(D16:F16)</f>
        <v>5053</v>
      </c>
      <c r="H16" s="656"/>
      <c r="I16" s="786">
        <f t="shared" ref="I16:I23" si="2">G16+H16</f>
        <v>5053</v>
      </c>
      <c r="J16" s="795">
        <v>6109</v>
      </c>
      <c r="K16" s="796"/>
      <c r="L16" s="796"/>
      <c r="M16" s="797">
        <f t="shared" si="0"/>
        <v>6109</v>
      </c>
      <c r="N16" s="798"/>
      <c r="O16" s="792">
        <f t="shared" ref="O16:O20" si="3">M16+N16</f>
        <v>6109</v>
      </c>
      <c r="P16" s="654">
        <v>3054.6</v>
      </c>
      <c r="Q16" s="793"/>
      <c r="R16" s="793"/>
      <c r="S16" s="794">
        <f t="shared" ref="S16:S23" si="4">SUM(P16:R16)</f>
        <v>3054.6</v>
      </c>
      <c r="T16" s="656"/>
      <c r="U16" s="786">
        <f t="shared" ref="U16:U20" si="5">S16+T16</f>
        <v>3054.6</v>
      </c>
      <c r="V16" s="654">
        <v>6209</v>
      </c>
      <c r="W16" s="793"/>
      <c r="X16" s="793"/>
      <c r="Y16" s="794">
        <f t="shared" ref="Y16:Y23" si="6">SUM(V16:X16)</f>
        <v>6209</v>
      </c>
      <c r="Z16" s="656"/>
      <c r="AA16" s="786">
        <f t="shared" ref="AA16:AA20" si="7">Y16+Z16</f>
        <v>6209</v>
      </c>
      <c r="AB16" s="147">
        <f t="shared" ref="AB16:AB24" si="8">(AA16/O16)</f>
        <v>1.0163692912096907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659">
        <v>894.81500000000005</v>
      </c>
      <c r="E17" s="793"/>
      <c r="F17" s="793"/>
      <c r="G17" s="794">
        <f t="shared" si="1"/>
        <v>894.81500000000005</v>
      </c>
      <c r="H17" s="660"/>
      <c r="I17" s="786">
        <f t="shared" si="2"/>
        <v>894.81500000000005</v>
      </c>
      <c r="J17" s="799">
        <v>301.60000000000002</v>
      </c>
      <c r="K17" s="796"/>
      <c r="L17" s="796"/>
      <c r="M17" s="797">
        <f t="shared" si="0"/>
        <v>301.60000000000002</v>
      </c>
      <c r="N17" s="800"/>
      <c r="O17" s="792">
        <f t="shared" si="3"/>
        <v>301.60000000000002</v>
      </c>
      <c r="P17" s="659">
        <v>0</v>
      </c>
      <c r="Q17" s="793"/>
      <c r="R17" s="793"/>
      <c r="S17" s="794">
        <f t="shared" si="4"/>
        <v>0</v>
      </c>
      <c r="T17" s="660"/>
      <c r="U17" s="786">
        <f t="shared" si="5"/>
        <v>0</v>
      </c>
      <c r="V17" s="659">
        <v>509</v>
      </c>
      <c r="W17" s="793"/>
      <c r="X17" s="793"/>
      <c r="Y17" s="794">
        <f t="shared" si="6"/>
        <v>509</v>
      </c>
      <c r="Z17" s="660"/>
      <c r="AA17" s="786">
        <f t="shared" si="7"/>
        <v>509</v>
      </c>
      <c r="AB17" s="147">
        <f t="shared" si="8"/>
        <v>1.6876657824933685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801"/>
      <c r="E18" s="802">
        <f>40543.586+157.599+739.895+185.768+600.1</f>
        <v>42226.947999999997</v>
      </c>
      <c r="F18" s="793"/>
      <c r="G18" s="794">
        <f t="shared" si="1"/>
        <v>42226.947999999997</v>
      </c>
      <c r="H18" s="785">
        <v>0</v>
      </c>
      <c r="I18" s="786">
        <f t="shared" si="2"/>
        <v>42226.947999999997</v>
      </c>
      <c r="J18" s="803"/>
      <c r="K18" s="804">
        <v>40078</v>
      </c>
      <c r="L18" s="796"/>
      <c r="M18" s="797">
        <f t="shared" si="0"/>
        <v>40078</v>
      </c>
      <c r="N18" s="791"/>
      <c r="O18" s="792">
        <f t="shared" si="3"/>
        <v>40078</v>
      </c>
      <c r="P18" s="801"/>
      <c r="Q18" s="802">
        <f>20429+301.6-551.064</f>
        <v>20179.536</v>
      </c>
      <c r="R18" s="793"/>
      <c r="S18" s="794">
        <f t="shared" si="4"/>
        <v>20179.536</v>
      </c>
      <c r="T18" s="785">
        <v>0</v>
      </c>
      <c r="U18" s="786">
        <f t="shared" si="5"/>
        <v>20179.536</v>
      </c>
      <c r="V18" s="801"/>
      <c r="W18" s="802">
        <f>42820.4+1377.6+1200</f>
        <v>45398</v>
      </c>
      <c r="X18" s="793"/>
      <c r="Y18" s="794">
        <f t="shared" si="6"/>
        <v>45398</v>
      </c>
      <c r="Z18" s="785"/>
      <c r="AA18" s="786">
        <f t="shared" si="7"/>
        <v>45398</v>
      </c>
      <c r="AB18" s="147">
        <f t="shared" si="8"/>
        <v>1.1327411547482409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801"/>
      <c r="E19" s="793"/>
      <c r="F19" s="662">
        <v>1102.1289999999999</v>
      </c>
      <c r="G19" s="794">
        <f t="shared" si="1"/>
        <v>1102.1289999999999</v>
      </c>
      <c r="H19" s="652">
        <v>0</v>
      </c>
      <c r="I19" s="786">
        <f t="shared" si="2"/>
        <v>1102.1289999999999</v>
      </c>
      <c r="J19" s="803"/>
      <c r="K19" s="796"/>
      <c r="L19" s="805">
        <v>0</v>
      </c>
      <c r="M19" s="797">
        <f t="shared" si="0"/>
        <v>0</v>
      </c>
      <c r="N19" s="806"/>
      <c r="O19" s="792">
        <f t="shared" si="3"/>
        <v>0</v>
      </c>
      <c r="P19" s="801"/>
      <c r="Q19" s="793"/>
      <c r="R19" s="662">
        <v>551.06399999999996</v>
      </c>
      <c r="S19" s="794">
        <f t="shared" si="4"/>
        <v>551.06399999999996</v>
      </c>
      <c r="T19" s="652">
        <v>0</v>
      </c>
      <c r="U19" s="786">
        <f t="shared" si="5"/>
        <v>551.06399999999996</v>
      </c>
      <c r="V19" s="801"/>
      <c r="W19" s="793"/>
      <c r="X19" s="662">
        <v>500</v>
      </c>
      <c r="Y19" s="794">
        <f t="shared" si="6"/>
        <v>500</v>
      </c>
      <c r="Z19" s="652"/>
      <c r="AA19" s="786">
        <f t="shared" si="7"/>
        <v>500</v>
      </c>
      <c r="AB19" s="147" t="e">
        <f t="shared" si="8"/>
        <v>#DIV/0!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801"/>
      <c r="E20" s="793"/>
      <c r="F20" s="662">
        <v>95.385999999999996</v>
      </c>
      <c r="G20" s="794">
        <f t="shared" si="1"/>
        <v>95.385999999999996</v>
      </c>
      <c r="H20" s="652">
        <v>0</v>
      </c>
      <c r="I20" s="786">
        <f t="shared" si="2"/>
        <v>95.385999999999996</v>
      </c>
      <c r="J20" s="803"/>
      <c r="K20" s="796"/>
      <c r="L20" s="805">
        <v>0</v>
      </c>
      <c r="M20" s="797">
        <f t="shared" si="0"/>
        <v>0</v>
      </c>
      <c r="N20" s="806"/>
      <c r="O20" s="792">
        <f t="shared" si="3"/>
        <v>0</v>
      </c>
      <c r="P20" s="801"/>
      <c r="Q20" s="793"/>
      <c r="R20" s="662">
        <v>83.8</v>
      </c>
      <c r="S20" s="794">
        <f t="shared" si="4"/>
        <v>83.8</v>
      </c>
      <c r="T20" s="652">
        <v>0</v>
      </c>
      <c r="U20" s="786">
        <f t="shared" si="5"/>
        <v>83.8</v>
      </c>
      <c r="V20" s="801"/>
      <c r="W20" s="793"/>
      <c r="X20" s="662">
        <v>50</v>
      </c>
      <c r="Y20" s="794">
        <f t="shared" si="6"/>
        <v>50</v>
      </c>
      <c r="Z20" s="652"/>
      <c r="AA20" s="786">
        <f t="shared" si="7"/>
        <v>50</v>
      </c>
      <c r="AB20" s="147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801"/>
      <c r="E21" s="793"/>
      <c r="F21" s="662">
        <f>66.069+95.848+374.294</f>
        <v>536.21100000000001</v>
      </c>
      <c r="G21" s="794">
        <f t="shared" si="1"/>
        <v>536.21100000000001</v>
      </c>
      <c r="H21" s="665">
        <v>0</v>
      </c>
      <c r="I21" s="786">
        <f>G21+H21</f>
        <v>536.21100000000001</v>
      </c>
      <c r="J21" s="803"/>
      <c r="K21" s="796"/>
      <c r="L21" s="805">
        <v>0</v>
      </c>
      <c r="M21" s="797">
        <f t="shared" si="0"/>
        <v>0</v>
      </c>
      <c r="N21" s="807"/>
      <c r="O21" s="792">
        <f>M21+N21</f>
        <v>0</v>
      </c>
      <c r="P21" s="801"/>
      <c r="Q21" s="793"/>
      <c r="R21" s="662">
        <f>254.7+13.5+43.8</f>
        <v>312</v>
      </c>
      <c r="S21" s="794">
        <f>SUM(P21:R21)</f>
        <v>312</v>
      </c>
      <c r="T21" s="665">
        <v>0</v>
      </c>
      <c r="U21" s="786">
        <f>S21+T21</f>
        <v>312</v>
      </c>
      <c r="V21" s="801"/>
      <c r="W21" s="793"/>
      <c r="X21" s="749"/>
      <c r="Y21" s="794">
        <f t="shared" si="6"/>
        <v>0</v>
      </c>
      <c r="Z21" s="665"/>
      <c r="AA21" s="786">
        <f>Y21+Z21</f>
        <v>0</v>
      </c>
      <c r="AB21" s="147" t="e">
        <f t="shared" si="8"/>
        <v>#DIV/0!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801"/>
      <c r="E22" s="793"/>
      <c r="F22" s="662">
        <v>0</v>
      </c>
      <c r="G22" s="794">
        <f t="shared" si="1"/>
        <v>0</v>
      </c>
      <c r="H22" s="665">
        <v>0</v>
      </c>
      <c r="I22" s="786">
        <f t="shared" si="2"/>
        <v>0</v>
      </c>
      <c r="J22" s="803"/>
      <c r="K22" s="796"/>
      <c r="L22" s="805">
        <v>0</v>
      </c>
      <c r="M22" s="797">
        <f t="shared" si="0"/>
        <v>0</v>
      </c>
      <c r="N22" s="807"/>
      <c r="O22" s="792">
        <f t="shared" ref="O22:O23" si="9">M22+N22</f>
        <v>0</v>
      </c>
      <c r="P22" s="801"/>
      <c r="Q22" s="793"/>
      <c r="R22" s="662">
        <v>0</v>
      </c>
      <c r="S22" s="794">
        <f t="shared" si="4"/>
        <v>0</v>
      </c>
      <c r="T22" s="665">
        <v>0</v>
      </c>
      <c r="U22" s="786">
        <f t="shared" ref="U22:U23" si="10">S22+T22</f>
        <v>0</v>
      </c>
      <c r="V22" s="801"/>
      <c r="W22" s="793"/>
      <c r="X22" s="662"/>
      <c r="Y22" s="794">
        <f t="shared" si="6"/>
        <v>0</v>
      </c>
      <c r="Z22" s="665"/>
      <c r="AA22" s="786">
        <f t="shared" ref="AA22:AA23" si="11">Y22+Z22</f>
        <v>0</v>
      </c>
      <c r="AB22" s="147" t="e">
        <f t="shared" si="8"/>
        <v>#DIV/0!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808"/>
      <c r="E23" s="809"/>
      <c r="F23" s="668">
        <v>0</v>
      </c>
      <c r="G23" s="810">
        <f t="shared" si="1"/>
        <v>0</v>
      </c>
      <c r="H23" s="670">
        <v>0</v>
      </c>
      <c r="I23" s="811">
        <f t="shared" si="2"/>
        <v>0</v>
      </c>
      <c r="J23" s="812"/>
      <c r="K23" s="813"/>
      <c r="L23" s="814">
        <v>0</v>
      </c>
      <c r="M23" s="815">
        <f t="shared" si="0"/>
        <v>0</v>
      </c>
      <c r="N23" s="816"/>
      <c r="O23" s="817">
        <f t="shared" si="9"/>
        <v>0</v>
      </c>
      <c r="P23" s="808"/>
      <c r="Q23" s="809"/>
      <c r="R23" s="668">
        <v>0</v>
      </c>
      <c r="S23" s="810">
        <f t="shared" si="4"/>
        <v>0</v>
      </c>
      <c r="T23" s="670">
        <v>0</v>
      </c>
      <c r="U23" s="811">
        <f t="shared" si="10"/>
        <v>0</v>
      </c>
      <c r="V23" s="808"/>
      <c r="W23" s="809"/>
      <c r="X23" s="668"/>
      <c r="Y23" s="810">
        <f t="shared" si="6"/>
        <v>0</v>
      </c>
      <c r="Z23" s="670"/>
      <c r="AA23" s="811">
        <f t="shared" si="11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818">
        <f>SUM(D15:D21)</f>
        <v>5947.8150000000005</v>
      </c>
      <c r="E24" s="819">
        <f>SUM(E15:E21)</f>
        <v>42226.947999999997</v>
      </c>
      <c r="F24" s="819">
        <f>SUM(F15:F21)</f>
        <v>4003.2129999999997</v>
      </c>
      <c r="G24" s="820">
        <f>SUM(D24:F24)</f>
        <v>52177.975999999995</v>
      </c>
      <c r="H24" s="821">
        <f>SUM(H15:H23)</f>
        <v>191.72</v>
      </c>
      <c r="I24" s="821">
        <f>SUM(I15:I21)</f>
        <v>52369.696000000004</v>
      </c>
      <c r="J24" s="822">
        <f>SUM(J15:J21)</f>
        <v>6410.6</v>
      </c>
      <c r="K24" s="823">
        <f>SUM(K15:K21)</f>
        <v>40078</v>
      </c>
      <c r="L24" s="823">
        <f>SUM(L15:L23)</f>
        <v>1000</v>
      </c>
      <c r="M24" s="824">
        <f>SUM(J24:L24)</f>
        <v>47488.6</v>
      </c>
      <c r="N24" s="825">
        <f>SUM(N15:N21)</f>
        <v>100</v>
      </c>
      <c r="O24" s="825">
        <f>SUM(O15:O21)</f>
        <v>47588.6</v>
      </c>
      <c r="P24" s="818">
        <f>SUM(P15:P21)</f>
        <v>3054.6</v>
      </c>
      <c r="Q24" s="819">
        <f>SUM(Q15:Q21)</f>
        <v>20179.536</v>
      </c>
      <c r="R24" s="819">
        <f>SUM(R15:R21)</f>
        <v>2450.2640000000001</v>
      </c>
      <c r="S24" s="820">
        <f>SUM(P24:R24)</f>
        <v>25684.399999999998</v>
      </c>
      <c r="T24" s="821">
        <f>SUM(T15:T23)</f>
        <v>95.7</v>
      </c>
      <c r="U24" s="821">
        <f>SUM(U15:U21)</f>
        <v>25780.1</v>
      </c>
      <c r="V24" s="818">
        <f>SUM(V15:V21)</f>
        <v>6718</v>
      </c>
      <c r="W24" s="819">
        <f>SUM(W15:W21)</f>
        <v>45398</v>
      </c>
      <c r="X24" s="819">
        <f>SUM(X15:X21)</f>
        <v>2550</v>
      </c>
      <c r="Y24" s="820">
        <f>SUM(V24:X24)</f>
        <v>54666</v>
      </c>
      <c r="Z24" s="821">
        <f>SUM(Z15:Z21)</f>
        <v>200</v>
      </c>
      <c r="AA24" s="821">
        <f>SUM(AA15:AA21)</f>
        <v>54866</v>
      </c>
      <c r="AB24" s="151">
        <f t="shared" si="8"/>
        <v>1.1529231790807042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462" t="s">
        <v>68</v>
      </c>
      <c r="K25" s="463"/>
      <c r="L25" s="463"/>
      <c r="M25" s="464"/>
      <c r="N25" s="464"/>
      <c r="O25" s="46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826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827" t="s">
        <v>218</v>
      </c>
      <c r="E26" s="828"/>
      <c r="F26" s="828"/>
      <c r="G26" s="772" t="s">
        <v>64</v>
      </c>
      <c r="H26" s="829" t="s">
        <v>67</v>
      </c>
      <c r="I26" s="830" t="s">
        <v>68</v>
      </c>
      <c r="J26" s="831" t="s">
        <v>218</v>
      </c>
      <c r="K26" s="832"/>
      <c r="L26" s="832"/>
      <c r="M26" s="833" t="s">
        <v>64</v>
      </c>
      <c r="N26" s="834" t="s">
        <v>67</v>
      </c>
      <c r="O26" s="835" t="s">
        <v>68</v>
      </c>
      <c r="P26" s="827" t="s">
        <v>218</v>
      </c>
      <c r="Q26" s="828"/>
      <c r="R26" s="828"/>
      <c r="S26" s="772" t="s">
        <v>64</v>
      </c>
      <c r="T26" s="829" t="s">
        <v>67</v>
      </c>
      <c r="U26" s="830" t="s">
        <v>68</v>
      </c>
      <c r="V26" s="827" t="s">
        <v>218</v>
      </c>
      <c r="W26" s="828"/>
      <c r="X26" s="828"/>
      <c r="Y26" s="772" t="s">
        <v>64</v>
      </c>
      <c r="Z26" s="829" t="s">
        <v>67</v>
      </c>
      <c r="AA26" s="830" t="s">
        <v>68</v>
      </c>
      <c r="AB26" s="836"/>
      <c r="AC26" s="4"/>
      <c r="AD26" s="4"/>
    </row>
    <row r="27" spans="1:30" ht="15.75" thickBot="1" x14ac:dyDescent="0.3">
      <c r="A27" s="5"/>
      <c r="B27" s="221"/>
      <c r="C27" s="228"/>
      <c r="D27" s="837" t="s">
        <v>54</v>
      </c>
      <c r="E27" s="838" t="s">
        <v>55</v>
      </c>
      <c r="F27" s="839" t="s">
        <v>56</v>
      </c>
      <c r="G27" s="777"/>
      <c r="H27" s="840"/>
      <c r="I27" s="841"/>
      <c r="J27" s="842" t="s">
        <v>54</v>
      </c>
      <c r="K27" s="843" t="s">
        <v>55</v>
      </c>
      <c r="L27" s="844" t="s">
        <v>56</v>
      </c>
      <c r="M27" s="845"/>
      <c r="N27" s="846"/>
      <c r="O27" s="847"/>
      <c r="P27" s="837" t="s">
        <v>54</v>
      </c>
      <c r="Q27" s="838" t="s">
        <v>55</v>
      </c>
      <c r="R27" s="839" t="s">
        <v>56</v>
      </c>
      <c r="S27" s="777"/>
      <c r="T27" s="840"/>
      <c r="U27" s="841"/>
      <c r="V27" s="837" t="s">
        <v>54</v>
      </c>
      <c r="W27" s="838" t="s">
        <v>55</v>
      </c>
      <c r="X27" s="839" t="s">
        <v>56</v>
      </c>
      <c r="Y27" s="777"/>
      <c r="Z27" s="840"/>
      <c r="AA27" s="841"/>
      <c r="AB27" s="848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693">
        <v>1070.0119999999999</v>
      </c>
      <c r="E28" s="693">
        <v>0</v>
      </c>
      <c r="F28" s="693">
        <v>0</v>
      </c>
      <c r="G28" s="697">
        <f>SUM(D28:F28)</f>
        <v>1070.0119999999999</v>
      </c>
      <c r="H28" s="697">
        <v>0</v>
      </c>
      <c r="I28" s="849">
        <f>G28+H28</f>
        <v>1070.0119999999999</v>
      </c>
      <c r="J28" s="850">
        <v>240</v>
      </c>
      <c r="K28" s="851">
        <v>0</v>
      </c>
      <c r="L28" s="851">
        <v>0</v>
      </c>
      <c r="M28" s="852">
        <f>SUM(J28:L28)</f>
        <v>240</v>
      </c>
      <c r="N28" s="852">
        <v>0</v>
      </c>
      <c r="O28" s="853">
        <f>M28+N28</f>
        <v>240</v>
      </c>
      <c r="P28" s="699">
        <v>187.48699999999999</v>
      </c>
      <c r="Q28" s="693">
        <v>0</v>
      </c>
      <c r="R28" s="693">
        <v>0</v>
      </c>
      <c r="S28" s="696">
        <f>SUM(P28:R28)</f>
        <v>187.48699999999999</v>
      </c>
      <c r="T28" s="697">
        <v>0</v>
      </c>
      <c r="U28" s="849">
        <f>S28+T28</f>
        <v>187.48699999999999</v>
      </c>
      <c r="V28" s="699">
        <v>240</v>
      </c>
      <c r="W28" s="693">
        <v>0</v>
      </c>
      <c r="X28" s="693">
        <v>0</v>
      </c>
      <c r="Y28" s="697">
        <f>SUM(V28:X28)</f>
        <v>240</v>
      </c>
      <c r="Z28" s="697"/>
      <c r="AA28" s="849">
        <f>Y28+Z28</f>
        <v>240</v>
      </c>
      <c r="AB28" s="147">
        <f t="shared" ref="AB28:AB41" si="12">(AA28/O28)</f>
        <v>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854">
        <f>37.787+10.958+131.066+8.454+134.664+0.557+30.502+37.207+10.231+12.232+91.921+3.507+262.589+4.132+12.714+2.709+27.344+5</f>
        <v>823.57399999999996</v>
      </c>
      <c r="E29" s="854">
        <f>357.295+25.999+75.141+85.776+8.89</f>
        <v>553.101</v>
      </c>
      <c r="F29" s="854">
        <f>24.571+35.638+0.446+0.883+48.241+2.995+2.865+28.286+22.217+2103.867</f>
        <v>2270.009</v>
      </c>
      <c r="G29" s="705">
        <f t="shared" ref="G29:G38" si="13">SUM(D29:F29)</f>
        <v>3646.6840000000002</v>
      </c>
      <c r="H29" s="855">
        <v>0</v>
      </c>
      <c r="I29" s="786">
        <f t="shared" ref="I29:I38" si="14">G29+H29</f>
        <v>3646.6840000000002</v>
      </c>
      <c r="J29" s="856">
        <v>835</v>
      </c>
      <c r="K29" s="857">
        <v>506.2</v>
      </c>
      <c r="L29" s="857">
        <v>965</v>
      </c>
      <c r="M29" s="858">
        <f t="shared" ref="M29:M38" si="15">SUM(J29:L29)</f>
        <v>2306.1999999999998</v>
      </c>
      <c r="N29" s="859">
        <v>10</v>
      </c>
      <c r="O29" s="792">
        <f t="shared" ref="O29:O32" si="16">M29+N29</f>
        <v>2316.1999999999998</v>
      </c>
      <c r="P29" s="860">
        <f>8.959+20.967+123.487+0.944+16.242+7.69+1.927+0.399+44.546+1.606+31.732+21.854+1.107+0.849+17.871+22.923+2.527+13.036+1397.33-0.02</f>
        <v>1735.9759999999999</v>
      </c>
      <c r="Q29" s="854">
        <f>36.105+47.127+1.453+8.76+10.401+154.873+37.499</f>
        <v>296.21800000000002</v>
      </c>
      <c r="R29" s="854">
        <f>12.358+8.826</f>
        <v>21.184000000000001</v>
      </c>
      <c r="S29" s="704">
        <f t="shared" ref="S29:S37" si="17">SUM(P29:R29)</f>
        <v>2053.3780000000002</v>
      </c>
      <c r="T29" s="855">
        <v>1.1000000000000001</v>
      </c>
      <c r="U29" s="786">
        <f t="shared" ref="U29:U38" si="18">S29+T29</f>
        <v>2054.4780000000001</v>
      </c>
      <c r="V29" s="860">
        <v>835</v>
      </c>
      <c r="W29" s="854">
        <f>270+69.75+16.6+35</f>
        <v>391.35</v>
      </c>
      <c r="X29" s="854">
        <f>1820+10</f>
        <v>1830</v>
      </c>
      <c r="Y29" s="705">
        <f t="shared" ref="Y29:Y38" si="19">SUM(V29:X29)</f>
        <v>3056.35</v>
      </c>
      <c r="Z29" s="855">
        <v>2</v>
      </c>
      <c r="AA29" s="786">
        <f t="shared" ref="AA29:AA38" si="20">Y29+Z29</f>
        <v>3058.35</v>
      </c>
      <c r="AB29" s="147">
        <f t="shared" si="12"/>
        <v>1.3204170624298421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01">
        <f>70.326+769.427+16.435+1053.151</f>
        <v>1909.3389999999999</v>
      </c>
      <c r="E30" s="701">
        <v>0</v>
      </c>
      <c r="F30" s="701">
        <v>0</v>
      </c>
      <c r="G30" s="705">
        <f t="shared" si="13"/>
        <v>1909.3389999999999</v>
      </c>
      <c r="H30" s="705">
        <v>32.326000000000001</v>
      </c>
      <c r="I30" s="786">
        <f t="shared" si="14"/>
        <v>1941.665</v>
      </c>
      <c r="J30" s="861">
        <v>2263</v>
      </c>
      <c r="K30" s="862">
        <v>0</v>
      </c>
      <c r="L30" s="862">
        <v>0</v>
      </c>
      <c r="M30" s="858">
        <f t="shared" si="15"/>
        <v>2263</v>
      </c>
      <c r="N30" s="858">
        <v>35</v>
      </c>
      <c r="O30" s="792">
        <f t="shared" si="16"/>
        <v>2298</v>
      </c>
      <c r="P30" s="706">
        <f>123.213+319.226+13.843+858.757</f>
        <v>1315.039</v>
      </c>
      <c r="Q30" s="701">
        <v>0</v>
      </c>
      <c r="R30" s="701">
        <v>0</v>
      </c>
      <c r="S30" s="704">
        <f t="shared" si="17"/>
        <v>1315.039</v>
      </c>
      <c r="T30" s="705">
        <v>11.259</v>
      </c>
      <c r="U30" s="786">
        <f t="shared" si="18"/>
        <v>1326.298</v>
      </c>
      <c r="V30" s="706">
        <v>2363</v>
      </c>
      <c r="W30" s="701">
        <v>0</v>
      </c>
      <c r="X30" s="701"/>
      <c r="Y30" s="705">
        <f t="shared" si="19"/>
        <v>2363</v>
      </c>
      <c r="Z30" s="705">
        <v>198</v>
      </c>
      <c r="AA30" s="786">
        <f t="shared" si="20"/>
        <v>2561</v>
      </c>
      <c r="AB30" s="147">
        <f t="shared" si="12"/>
        <v>1.1144473455178416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01">
        <f>3.133+18.467+4.179+156.391+134.41+15.56+94.034+11.616+143.433+0.653+0.005+14.4+1.686+157.367+45.563</f>
        <v>800.89699999999993</v>
      </c>
      <c r="E31" s="701">
        <f>37+28.376+83.047+162.325+100.021</f>
        <v>410.76900000000001</v>
      </c>
      <c r="F31" s="701">
        <f>8.74+37.035+6.156</f>
        <v>51.930999999999997</v>
      </c>
      <c r="G31" s="705">
        <f t="shared" si="13"/>
        <v>1263.597</v>
      </c>
      <c r="H31" s="705">
        <v>0</v>
      </c>
      <c r="I31" s="786">
        <f t="shared" si="14"/>
        <v>1263.597</v>
      </c>
      <c r="J31" s="861">
        <v>524.6</v>
      </c>
      <c r="K31" s="862">
        <v>40</v>
      </c>
      <c r="L31" s="862">
        <v>35</v>
      </c>
      <c r="M31" s="858">
        <f t="shared" si="15"/>
        <v>599.6</v>
      </c>
      <c r="N31" s="858">
        <v>0</v>
      </c>
      <c r="O31" s="792">
        <f>M31+N31</f>
        <v>599.6</v>
      </c>
      <c r="P31" s="706">
        <f>1.57+0.3+7.29+3.528+86.82+106.625+12.559+51.443+3.872+38.286+0.3+7.2+1.686+0.254-0.2</f>
        <v>321.53300000000002</v>
      </c>
      <c r="Q31" s="701">
        <f>9.66+2.2+5.082+120.09+0.72+265.064</f>
        <v>402.81600000000003</v>
      </c>
      <c r="R31" s="701">
        <f>12.877+25.912</f>
        <v>38.789000000000001</v>
      </c>
      <c r="S31" s="704">
        <f t="shared" si="17"/>
        <v>763.13800000000003</v>
      </c>
      <c r="T31" s="705">
        <v>0</v>
      </c>
      <c r="U31" s="786">
        <f t="shared" si="18"/>
        <v>763.13800000000003</v>
      </c>
      <c r="V31" s="706">
        <v>524.6</v>
      </c>
      <c r="W31" s="701">
        <f>61+509.4+266+32</f>
        <v>868.4</v>
      </c>
      <c r="X31" s="701">
        <f>80+40</f>
        <v>120</v>
      </c>
      <c r="Y31" s="705">
        <f t="shared" si="19"/>
        <v>1513</v>
      </c>
      <c r="Z31" s="705"/>
      <c r="AA31" s="786">
        <f t="shared" si="20"/>
        <v>1513</v>
      </c>
      <c r="AB31" s="147">
        <f t="shared" si="12"/>
        <v>2.5233488992661774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01">
        <f>D33+D34</f>
        <v>191.01999999999998</v>
      </c>
      <c r="E32" s="863">
        <f t="shared" ref="E32:L32" si="21">E33+E34</f>
        <v>29864.300999999999</v>
      </c>
      <c r="F32" s="701">
        <f t="shared" si="21"/>
        <v>0</v>
      </c>
      <c r="G32" s="701">
        <f t="shared" si="21"/>
        <v>30055.321</v>
      </c>
      <c r="H32" s="701">
        <f t="shared" si="21"/>
        <v>0</v>
      </c>
      <c r="I32" s="701">
        <f t="shared" si="21"/>
        <v>30055.321</v>
      </c>
      <c r="J32" s="861">
        <v>157.1</v>
      </c>
      <c r="K32" s="701">
        <f t="shared" si="21"/>
        <v>28642</v>
      </c>
      <c r="L32" s="701">
        <f t="shared" si="21"/>
        <v>0</v>
      </c>
      <c r="M32" s="858">
        <f>SUM(J32:L32)</f>
        <v>28799.1</v>
      </c>
      <c r="N32" s="858">
        <f>SUM(N33:N34)</f>
        <v>0</v>
      </c>
      <c r="O32" s="792">
        <f t="shared" si="16"/>
        <v>28799.1</v>
      </c>
      <c r="P32" s="710">
        <f>SUM(P33:P34)</f>
        <v>0</v>
      </c>
      <c r="Q32" s="701">
        <f>Q33+Q34</f>
        <v>14224.474</v>
      </c>
      <c r="R32" s="701">
        <f>R33+R34</f>
        <v>0</v>
      </c>
      <c r="S32" s="704">
        <f t="shared" si="17"/>
        <v>14224.474</v>
      </c>
      <c r="T32" s="705">
        <f>SUM(T33:T34)</f>
        <v>0</v>
      </c>
      <c r="U32" s="786">
        <f t="shared" si="18"/>
        <v>14224.474</v>
      </c>
      <c r="V32" s="710">
        <v>157.1</v>
      </c>
      <c r="W32" s="701">
        <f>SUM(W33:W34)</f>
        <v>32279.61</v>
      </c>
      <c r="X32" s="701"/>
      <c r="Y32" s="705">
        <f t="shared" si="19"/>
        <v>32436.71</v>
      </c>
      <c r="Z32" s="705"/>
      <c r="AA32" s="786">
        <f t="shared" si="20"/>
        <v>32436.71</v>
      </c>
      <c r="AB32" s="147">
        <f t="shared" si="12"/>
        <v>1.126309849960589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01">
        <f>102.115+31.905</f>
        <v>134.01999999999998</v>
      </c>
      <c r="E33" s="701">
        <f>22319.062+1481.329+287.405+4307.8+69.498+117.786+317.768+558.553</f>
        <v>29459.201000000001</v>
      </c>
      <c r="F33" s="701">
        <v>0</v>
      </c>
      <c r="G33" s="705">
        <f t="shared" si="13"/>
        <v>29593.221000000001</v>
      </c>
      <c r="H33" s="705">
        <v>0</v>
      </c>
      <c r="I33" s="786">
        <f t="shared" si="14"/>
        <v>29593.221000000001</v>
      </c>
      <c r="J33" s="861">
        <v>134</v>
      </c>
      <c r="K33" s="862">
        <v>28233.200000000001</v>
      </c>
      <c r="L33" s="862">
        <v>0</v>
      </c>
      <c r="M33" s="858">
        <f t="shared" si="15"/>
        <v>28367.200000000001</v>
      </c>
      <c r="N33" s="858">
        <v>0</v>
      </c>
      <c r="O33" s="792">
        <f>M33+N33</f>
        <v>28367.200000000001</v>
      </c>
      <c r="P33" s="710">
        <v>0</v>
      </c>
      <c r="Q33" s="701">
        <f>10333.728+897.048+71.778+1973.792+272.793+71.321+228.772+48.632</f>
        <v>13897.864</v>
      </c>
      <c r="R33" s="701">
        <v>0</v>
      </c>
      <c r="S33" s="704">
        <f t="shared" si="17"/>
        <v>13897.864</v>
      </c>
      <c r="T33" s="705">
        <v>0</v>
      </c>
      <c r="U33" s="786">
        <f t="shared" si="18"/>
        <v>13897.864</v>
      </c>
      <c r="V33" s="710">
        <v>134</v>
      </c>
      <c r="W33" s="701">
        <f>301.51+30783.7+456.4+550</f>
        <v>32091.61</v>
      </c>
      <c r="X33" s="701"/>
      <c r="Y33" s="705">
        <f t="shared" si="19"/>
        <v>32225.61</v>
      </c>
      <c r="Z33" s="705"/>
      <c r="AA33" s="786">
        <f t="shared" si="20"/>
        <v>32225.61</v>
      </c>
      <c r="AB33" s="147">
        <f t="shared" si="12"/>
        <v>1.1360165966327307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09">
        <v>57</v>
      </c>
      <c r="E34" s="701">
        <f>50.2+8.8+26.8+319.3</f>
        <v>405.1</v>
      </c>
      <c r="F34" s="701">
        <v>0</v>
      </c>
      <c r="G34" s="705">
        <f t="shared" si="13"/>
        <v>462.1</v>
      </c>
      <c r="H34" s="705">
        <v>0</v>
      </c>
      <c r="I34" s="786">
        <f t="shared" si="14"/>
        <v>462.1</v>
      </c>
      <c r="J34" s="861">
        <v>23.1</v>
      </c>
      <c r="K34" s="862">
        <v>408.8</v>
      </c>
      <c r="L34" s="862">
        <v>0</v>
      </c>
      <c r="M34" s="858">
        <f>SUM(J34:L34)</f>
        <v>431.90000000000003</v>
      </c>
      <c r="N34" s="858">
        <v>0</v>
      </c>
      <c r="O34" s="792">
        <f>M34+N34</f>
        <v>431.90000000000003</v>
      </c>
      <c r="P34" s="710">
        <v>0</v>
      </c>
      <c r="Q34" s="701">
        <f>26+19.41+40.8+240.4</f>
        <v>326.61</v>
      </c>
      <c r="R34" s="701">
        <v>0</v>
      </c>
      <c r="S34" s="704">
        <f t="shared" si="17"/>
        <v>326.61</v>
      </c>
      <c r="T34" s="705">
        <v>0</v>
      </c>
      <c r="U34" s="786">
        <f t="shared" si="18"/>
        <v>326.61</v>
      </c>
      <c r="V34" s="710">
        <v>23.1</v>
      </c>
      <c r="W34" s="701">
        <f>100+8+80</f>
        <v>188</v>
      </c>
      <c r="X34" s="701"/>
      <c r="Y34" s="705">
        <f t="shared" si="19"/>
        <v>211.1</v>
      </c>
      <c r="Z34" s="705"/>
      <c r="AA34" s="786">
        <f t="shared" si="20"/>
        <v>211.1</v>
      </c>
      <c r="AB34" s="147">
        <f t="shared" si="12"/>
        <v>0.4887705487381338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09">
        <f>33.237+12.062</f>
        <v>45.298999999999999</v>
      </c>
      <c r="E35" s="701">
        <f>6933+2530.5+29.215+10.598+218.818+79.5</f>
        <v>9801.6309999999994</v>
      </c>
      <c r="F35" s="701">
        <v>0</v>
      </c>
      <c r="G35" s="705">
        <f t="shared" si="13"/>
        <v>9846.93</v>
      </c>
      <c r="H35" s="705">
        <v>0</v>
      </c>
      <c r="I35" s="786">
        <f t="shared" si="14"/>
        <v>9846.93</v>
      </c>
      <c r="J35" s="861">
        <v>45.3</v>
      </c>
      <c r="K35" s="862">
        <v>9475.2000000000007</v>
      </c>
      <c r="L35" s="862">
        <v>0</v>
      </c>
      <c r="M35" s="858">
        <f t="shared" si="15"/>
        <v>9520.5</v>
      </c>
      <c r="N35" s="858">
        <v>0</v>
      </c>
      <c r="O35" s="792">
        <f>M35+N35</f>
        <v>9520.5</v>
      </c>
      <c r="P35" s="710">
        <v>0</v>
      </c>
      <c r="Q35" s="701">
        <v>4674.576</v>
      </c>
      <c r="R35" s="701">
        <v>0</v>
      </c>
      <c r="S35" s="704">
        <f t="shared" si="17"/>
        <v>4674.576</v>
      </c>
      <c r="T35" s="705">
        <v>0</v>
      </c>
      <c r="U35" s="786">
        <f t="shared" si="18"/>
        <v>4674.576</v>
      </c>
      <c r="V35" s="710">
        <v>45.3</v>
      </c>
      <c r="W35" s="701">
        <f>10438.7+154.2+185</f>
        <v>10777.900000000001</v>
      </c>
      <c r="X35" s="701"/>
      <c r="Y35" s="705">
        <f t="shared" si="19"/>
        <v>10823.2</v>
      </c>
      <c r="Z35" s="705"/>
      <c r="AA35" s="786">
        <f t="shared" si="20"/>
        <v>10823.2</v>
      </c>
      <c r="AB35" s="147">
        <f t="shared" si="12"/>
        <v>1.1368310487894544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01">
        <v>0</v>
      </c>
      <c r="E36" s="701">
        <v>0</v>
      </c>
      <c r="F36" s="701">
        <v>0</v>
      </c>
      <c r="G36" s="705">
        <f t="shared" si="13"/>
        <v>0</v>
      </c>
      <c r="H36" s="705">
        <v>0</v>
      </c>
      <c r="I36" s="786">
        <f t="shared" si="14"/>
        <v>0</v>
      </c>
      <c r="J36" s="861">
        <v>4</v>
      </c>
      <c r="K36" s="862">
        <v>0</v>
      </c>
      <c r="L36" s="862">
        <v>0</v>
      </c>
      <c r="M36" s="858">
        <f t="shared" si="15"/>
        <v>4</v>
      </c>
      <c r="N36" s="858">
        <v>0</v>
      </c>
      <c r="O36" s="792">
        <f>M36+N36</f>
        <v>4</v>
      </c>
      <c r="P36" s="706">
        <v>0</v>
      </c>
      <c r="Q36" s="701">
        <v>0</v>
      </c>
      <c r="R36" s="701">
        <v>0</v>
      </c>
      <c r="S36" s="704">
        <f t="shared" si="17"/>
        <v>0</v>
      </c>
      <c r="T36" s="705">
        <v>0</v>
      </c>
      <c r="U36" s="786">
        <f t="shared" si="18"/>
        <v>0</v>
      </c>
      <c r="V36" s="706">
        <v>4</v>
      </c>
      <c r="W36" s="701">
        <v>0</v>
      </c>
      <c r="X36" s="701"/>
      <c r="Y36" s="705">
        <f t="shared" si="19"/>
        <v>4</v>
      </c>
      <c r="Z36" s="705"/>
      <c r="AA36" s="786">
        <f t="shared" si="20"/>
        <v>4</v>
      </c>
      <c r="AB36" s="147">
        <f t="shared" si="12"/>
        <v>1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01">
        <v>1894.73</v>
      </c>
      <c r="E37" s="701">
        <v>0</v>
      </c>
      <c r="F37" s="701">
        <v>0</v>
      </c>
      <c r="G37" s="705">
        <f t="shared" si="13"/>
        <v>1894.73</v>
      </c>
      <c r="H37" s="705">
        <v>0</v>
      </c>
      <c r="I37" s="786">
        <f t="shared" si="14"/>
        <v>1894.73</v>
      </c>
      <c r="J37" s="861">
        <v>1864</v>
      </c>
      <c r="K37" s="862">
        <v>0</v>
      </c>
      <c r="L37" s="862">
        <v>0</v>
      </c>
      <c r="M37" s="858">
        <f t="shared" si="15"/>
        <v>1864</v>
      </c>
      <c r="N37" s="858">
        <v>0</v>
      </c>
      <c r="O37" s="792">
        <f t="shared" ref="O37" si="22">M37+N37</f>
        <v>1864</v>
      </c>
      <c r="P37" s="706">
        <v>928.94799999999998</v>
      </c>
      <c r="Q37" s="701">
        <v>0</v>
      </c>
      <c r="R37" s="701">
        <v>0</v>
      </c>
      <c r="S37" s="704">
        <f t="shared" si="17"/>
        <v>928.94799999999998</v>
      </c>
      <c r="T37" s="705">
        <v>0</v>
      </c>
      <c r="U37" s="786">
        <f t="shared" si="18"/>
        <v>928.94799999999998</v>
      </c>
      <c r="V37" s="706">
        <v>1864</v>
      </c>
      <c r="W37" s="701">
        <v>0</v>
      </c>
      <c r="X37" s="701">
        <v>500</v>
      </c>
      <c r="Y37" s="705">
        <f t="shared" si="19"/>
        <v>2364</v>
      </c>
      <c r="Z37" s="705"/>
      <c r="AA37" s="786">
        <f t="shared" si="20"/>
        <v>2364</v>
      </c>
      <c r="AB37" s="147">
        <f t="shared" si="12"/>
        <v>1.2682403433476395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236</v>
      </c>
      <c r="D38" s="711">
        <f>27.357+2.488+2.681+77.833+15.419+6.589+14.15+6.004+29.507+4.7+0.4+125.6+100.972+105.269+38.114+10.38+71.115</f>
        <v>638.57799999999997</v>
      </c>
      <c r="E38" s="711">
        <f>3.656+113.249+570.547+23.8+17.834+15.709+682.127+122.497+114.1</f>
        <v>1663.5189999999998</v>
      </c>
      <c r="F38" s="711">
        <f>73.892+9.55</f>
        <v>83.441999999999993</v>
      </c>
      <c r="G38" s="705">
        <f t="shared" si="13"/>
        <v>2385.5389999999998</v>
      </c>
      <c r="H38" s="714">
        <v>0</v>
      </c>
      <c r="I38" s="811">
        <f t="shared" si="14"/>
        <v>2385.5389999999998</v>
      </c>
      <c r="J38" s="864">
        <v>477.6</v>
      </c>
      <c r="K38" s="865">
        <v>1414.6</v>
      </c>
      <c r="L38" s="865">
        <v>0</v>
      </c>
      <c r="M38" s="866">
        <f t="shared" si="15"/>
        <v>1892.1999999999998</v>
      </c>
      <c r="N38" s="866">
        <v>55</v>
      </c>
      <c r="O38" s="817">
        <f>M38+N38</f>
        <v>1947.1999999999998</v>
      </c>
      <c r="P38" s="715">
        <f>41.899+2.757+0.55+4.961+1.2+1.038+6.256+20.066+4.233+0.4+15.6+5.13+0.15</f>
        <v>104.24</v>
      </c>
      <c r="Q38" s="711">
        <f>75.099+267.153+5.455+20.75+0.63+5.348+112.03+4.377+59.738+8.546</f>
        <v>559.12600000000009</v>
      </c>
      <c r="R38" s="711">
        <v>48.396999999999998</v>
      </c>
      <c r="S38" s="714">
        <f>SUM(P38:R38)</f>
        <v>711.76300000000015</v>
      </c>
      <c r="T38" s="714">
        <v>0</v>
      </c>
      <c r="U38" s="811">
        <f t="shared" si="18"/>
        <v>711.76300000000015</v>
      </c>
      <c r="V38" s="715">
        <v>685</v>
      </c>
      <c r="W38" s="711">
        <f>15+15+150+615.7+233+52</f>
        <v>1080.7</v>
      </c>
      <c r="X38" s="711">
        <v>100</v>
      </c>
      <c r="Y38" s="714">
        <f t="shared" si="19"/>
        <v>1865.7</v>
      </c>
      <c r="Z38" s="714"/>
      <c r="AA38" s="811">
        <f t="shared" si="20"/>
        <v>1865.7</v>
      </c>
      <c r="AB38" s="150">
        <f t="shared" si="12"/>
        <v>0.95814502875924412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867">
        <f>SUM(D35:D38)+SUM(D28:D32)</f>
        <v>7373.4490000000005</v>
      </c>
      <c r="E39" s="867">
        <f>SUM(E35:E38)+SUM(E28:E32)</f>
        <v>42293.320999999996</v>
      </c>
      <c r="F39" s="867">
        <f>SUM(F35:F38)+SUM(F28:F32)</f>
        <v>2405.3820000000001</v>
      </c>
      <c r="G39" s="723">
        <f>SUM(D39:F39)</f>
        <v>52072.151999999995</v>
      </c>
      <c r="H39" s="868">
        <f>SUM(H28:H32)+SUM(H35:H38)</f>
        <v>32.326000000000001</v>
      </c>
      <c r="I39" s="869">
        <f>SUM(I35:I38)+SUM(I28:I32)</f>
        <v>52104.478000000003</v>
      </c>
      <c r="J39" s="870">
        <f>SUM(J35:J38)+SUM(J28:J32)</f>
        <v>6410.6</v>
      </c>
      <c r="K39" s="870">
        <f>SUM(K35:K38)+SUM(K28:K32)</f>
        <v>40078</v>
      </c>
      <c r="L39" s="870">
        <f>SUM(L35:L38)+SUM(L28:L32)</f>
        <v>1000</v>
      </c>
      <c r="M39" s="871">
        <f>SUM(J39:L39)</f>
        <v>47488.6</v>
      </c>
      <c r="N39" s="872">
        <f>SUM(N28:N32)+SUM(N35:N38)</f>
        <v>100</v>
      </c>
      <c r="O39" s="869">
        <f>SUM(O35:O38)+SUM(O28:O32)</f>
        <v>47588.600000000006</v>
      </c>
      <c r="P39" s="867">
        <f>SUM(P35:P38)+SUM(P28:P32)</f>
        <v>4593.223</v>
      </c>
      <c r="Q39" s="867">
        <f>SUM(Q35:Q38)+SUM(Q28:Q32)</f>
        <v>20157.21</v>
      </c>
      <c r="R39" s="867">
        <f>SUM(R35:R38)+SUM(R28:R32)</f>
        <v>108.37</v>
      </c>
      <c r="S39" s="723">
        <f>SUM(P39:R39)</f>
        <v>24858.802999999996</v>
      </c>
      <c r="T39" s="868">
        <f>SUM(T28:T32)+SUM(T35:T38)</f>
        <v>12.359</v>
      </c>
      <c r="U39" s="869">
        <f>SUM(U35:U38)+SUM(U28:U32)</f>
        <v>24871.162</v>
      </c>
      <c r="V39" s="42">
        <f>SUM(V35:V38)+SUM(V28:V32)</f>
        <v>6718</v>
      </c>
      <c r="W39" s="42">
        <f>SUM(W35:W38)+SUM(W28:W32)</f>
        <v>45397.960000000006</v>
      </c>
      <c r="X39" s="42">
        <f>SUM(X35:X38)+SUM(X28:X32)</f>
        <v>2550</v>
      </c>
      <c r="Y39" s="146">
        <f>SUM(V39:X39)</f>
        <v>54665.960000000006</v>
      </c>
      <c r="Z39" s="43">
        <f>SUM(Z28:Z32)+SUM(Z35:Z38)</f>
        <v>200</v>
      </c>
      <c r="AA39" s="44">
        <f>SUM(AA35:AA38)+SUM(AA28:AA32)</f>
        <v>54865.96</v>
      </c>
      <c r="AB39" s="152">
        <f t="shared" si="12"/>
        <v>1.1529223385432643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N40" si="23">D24-D39</f>
        <v>-1425.634</v>
      </c>
      <c r="E40" s="109">
        <f t="shared" si="23"/>
        <v>-66.372999999999593</v>
      </c>
      <c r="F40" s="109">
        <f t="shared" si="23"/>
        <v>1597.8309999999997</v>
      </c>
      <c r="G40" s="118">
        <f t="shared" si="23"/>
        <v>105.82400000000052</v>
      </c>
      <c r="H40" s="118">
        <f t="shared" si="23"/>
        <v>159.39400000000001</v>
      </c>
      <c r="I40" s="119">
        <f>I24-I39</f>
        <v>265.21800000000076</v>
      </c>
      <c r="J40" s="109">
        <f t="shared" si="23"/>
        <v>0</v>
      </c>
      <c r="K40" s="109">
        <f t="shared" si="23"/>
        <v>0</v>
      </c>
      <c r="L40" s="109">
        <f t="shared" si="23"/>
        <v>0</v>
      </c>
      <c r="M40" s="496">
        <f t="shared" si="23"/>
        <v>0</v>
      </c>
      <c r="N40" s="496">
        <f t="shared" si="23"/>
        <v>0</v>
      </c>
      <c r="O40" s="119">
        <f>O24-O39</f>
        <v>0</v>
      </c>
      <c r="P40" s="109">
        <f t="shared" ref="P40:AA40" si="24">P24-P39</f>
        <v>-1538.623</v>
      </c>
      <c r="Q40" s="109">
        <f t="shared" si="24"/>
        <v>22.326000000000931</v>
      </c>
      <c r="R40" s="109">
        <f t="shared" si="24"/>
        <v>2341.8940000000002</v>
      </c>
      <c r="S40" s="118">
        <f>S24-S39</f>
        <v>825.59700000000157</v>
      </c>
      <c r="T40" s="118">
        <f t="shared" si="24"/>
        <v>83.341000000000008</v>
      </c>
      <c r="U40" s="119">
        <f t="shared" si="24"/>
        <v>908.93799999999828</v>
      </c>
      <c r="V40" s="109">
        <f t="shared" si="24"/>
        <v>0</v>
      </c>
      <c r="W40" s="109">
        <f t="shared" si="24"/>
        <v>3.9999999993597157E-2</v>
      </c>
      <c r="X40" s="109">
        <f t="shared" si="24"/>
        <v>0</v>
      </c>
      <c r="Y40" s="118">
        <f t="shared" si="24"/>
        <v>3.9999999993597157E-2</v>
      </c>
      <c r="Z40" s="118">
        <f t="shared" si="24"/>
        <v>0</v>
      </c>
      <c r="AA40" s="119">
        <f t="shared" si="24"/>
        <v>4.0000000000873115E-2</v>
      </c>
      <c r="AB40" s="153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-4787.7819999999992</v>
      </c>
      <c r="J41" s="112"/>
      <c r="K41" s="113"/>
      <c r="L41" s="113"/>
      <c r="M41" s="114"/>
      <c r="N41" s="117"/>
      <c r="O41" s="116">
        <f>O40-J16</f>
        <v>-6109</v>
      </c>
      <c r="P41" s="112"/>
      <c r="Q41" s="113"/>
      <c r="R41" s="113"/>
      <c r="S41" s="114"/>
      <c r="T41" s="117"/>
      <c r="U41" s="116">
        <f>U40-P16</f>
        <v>-2145.6620000000016</v>
      </c>
      <c r="V41" s="112"/>
      <c r="W41" s="113"/>
      <c r="X41" s="113"/>
      <c r="Y41" s="114"/>
      <c r="Z41" s="117"/>
      <c r="AA41" s="116">
        <f>AA40-V16</f>
        <v>-6208.9599999999991</v>
      </c>
      <c r="AB41" s="147">
        <f t="shared" si="12"/>
        <v>1.0163627434932065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873" t="s">
        <v>41</v>
      </c>
      <c r="E43" s="874" t="s">
        <v>83</v>
      </c>
      <c r="F43" s="875" t="s">
        <v>36</v>
      </c>
      <c r="G43" s="876"/>
      <c r="H43" s="876"/>
      <c r="I43" s="877"/>
      <c r="J43" s="873" t="s">
        <v>41</v>
      </c>
      <c r="K43" s="874" t="s">
        <v>83</v>
      </c>
      <c r="L43" s="875" t="s">
        <v>36</v>
      </c>
      <c r="M43" s="876"/>
      <c r="N43" s="876"/>
      <c r="O43" s="876"/>
      <c r="P43" s="873" t="s">
        <v>41</v>
      </c>
      <c r="Q43" s="874" t="s">
        <v>83</v>
      </c>
      <c r="R43" s="875" t="s">
        <v>36</v>
      </c>
      <c r="S43" s="878"/>
      <c r="T43" s="878"/>
      <c r="U43" s="878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879">
        <f>SUM(E44:F44)</f>
        <v>427.9</v>
      </c>
      <c r="E44" s="880">
        <v>427.9</v>
      </c>
      <c r="F44" s="881">
        <v>0</v>
      </c>
      <c r="G44" s="876"/>
      <c r="H44" s="876"/>
      <c r="I44" s="877"/>
      <c r="J44" s="879">
        <v>427.9</v>
      </c>
      <c r="K44" s="880">
        <v>427.9</v>
      </c>
      <c r="L44" s="881">
        <v>0</v>
      </c>
      <c r="M44" s="882"/>
      <c r="N44" s="882"/>
      <c r="O44" s="882"/>
      <c r="P44" s="879">
        <f>SUM(Q44:R44)</f>
        <v>213.3</v>
      </c>
      <c r="Q44" s="880">
        <v>213.3</v>
      </c>
      <c r="R44" s="881">
        <v>0</v>
      </c>
      <c r="S44" s="241"/>
      <c r="T44" s="241"/>
      <c r="U44" s="241"/>
      <c r="V44" s="94">
        <f>SUM(W44:X44)</f>
        <v>427.9</v>
      </c>
      <c r="W44" s="104">
        <v>427.9</v>
      </c>
      <c r="X44" s="105">
        <v>0</v>
      </c>
      <c r="Y44" s="4"/>
      <c r="Z44" s="4"/>
      <c r="AA44" s="4"/>
      <c r="AB44" s="4"/>
      <c r="AC44" s="4"/>
      <c r="AD44" s="4"/>
    </row>
    <row r="45" spans="1:30" s="122" customFormat="1" ht="20.45" customHeight="1" thickBot="1" x14ac:dyDescent="0.3">
      <c r="A45" s="87"/>
      <c r="B45" s="92"/>
      <c r="C45" s="48"/>
      <c r="D45" s="882"/>
      <c r="E45" s="876"/>
      <c r="F45" s="876"/>
      <c r="G45" s="876"/>
      <c r="H45" s="876"/>
      <c r="I45" s="877"/>
      <c r="J45" s="877"/>
      <c r="K45" s="877"/>
      <c r="L45" s="877"/>
      <c r="M45" s="877"/>
      <c r="N45" s="877"/>
      <c r="O45" s="877"/>
      <c r="P45" s="877"/>
      <c r="Q45" s="877"/>
      <c r="R45" s="877"/>
      <c r="S45" s="877"/>
      <c r="T45" s="877"/>
      <c r="U45" s="877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735" t="s">
        <v>86</v>
      </c>
      <c r="E46" s="883" t="s">
        <v>84</v>
      </c>
      <c r="F46" s="876"/>
      <c r="G46" s="876"/>
      <c r="H46" s="876"/>
      <c r="I46" s="877"/>
      <c r="J46" s="735" t="s">
        <v>86</v>
      </c>
      <c r="K46" s="883" t="s">
        <v>84</v>
      </c>
      <c r="L46" s="884"/>
      <c r="M46" s="884"/>
      <c r="N46" s="878"/>
      <c r="O46" s="878"/>
      <c r="P46" s="735" t="s">
        <v>86</v>
      </c>
      <c r="Q46" s="883" t="s">
        <v>84</v>
      </c>
      <c r="R46" s="878"/>
      <c r="S46" s="878"/>
      <c r="T46" s="878"/>
      <c r="U46" s="878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879">
        <v>0</v>
      </c>
      <c r="E47" s="885">
        <v>0</v>
      </c>
      <c r="F47" s="876"/>
      <c r="G47" s="876"/>
      <c r="H47" s="876"/>
      <c r="I47" s="877"/>
      <c r="J47" s="879">
        <v>0</v>
      </c>
      <c r="K47" s="885">
        <v>0</v>
      </c>
      <c r="L47" s="886"/>
      <c r="M47" s="886"/>
      <c r="N47" s="241"/>
      <c r="O47" s="241"/>
      <c r="P47" s="879">
        <v>0</v>
      </c>
      <c r="Q47" s="885">
        <v>0</v>
      </c>
      <c r="R47" s="241"/>
      <c r="S47" s="241"/>
      <c r="T47" s="241"/>
      <c r="U47" s="241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876"/>
      <c r="E48" s="876"/>
      <c r="F48" s="876"/>
      <c r="G48" s="876"/>
      <c r="H48" s="876"/>
      <c r="I48" s="877"/>
      <c r="J48" s="876"/>
      <c r="K48" s="876"/>
      <c r="L48" s="876"/>
      <c r="M48" s="876"/>
      <c r="N48" s="876"/>
      <c r="O48" s="877"/>
      <c r="P48" s="877"/>
      <c r="Q48" s="877"/>
      <c r="R48" s="877"/>
      <c r="S48" s="877"/>
      <c r="T48" s="877"/>
      <c r="U48" s="877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887" t="s">
        <v>72</v>
      </c>
      <c r="E49" s="887" t="s">
        <v>73</v>
      </c>
      <c r="F49" s="887" t="s">
        <v>91</v>
      </c>
      <c r="G49" s="887" t="s">
        <v>93</v>
      </c>
      <c r="H49" s="876"/>
      <c r="I49" s="241"/>
      <c r="J49" s="887" t="s">
        <v>72</v>
      </c>
      <c r="K49" s="887" t="s">
        <v>73</v>
      </c>
      <c r="L49" s="887" t="s">
        <v>91</v>
      </c>
      <c r="M49" s="887" t="s">
        <v>94</v>
      </c>
      <c r="N49" s="241"/>
      <c r="O49" s="241"/>
      <c r="P49" s="887" t="s">
        <v>72</v>
      </c>
      <c r="Q49" s="887" t="s">
        <v>73</v>
      </c>
      <c r="R49" s="887" t="s">
        <v>91</v>
      </c>
      <c r="S49" s="887" t="s">
        <v>94</v>
      </c>
      <c r="T49" s="241"/>
      <c r="U49" s="241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117</v>
      </c>
      <c r="D50" s="179">
        <f>SUM(D51:D54)</f>
        <v>3896.6749999999997</v>
      </c>
      <c r="E50" s="179">
        <f t="shared" ref="E50:G50" si="25">SUM(E51:E54)</f>
        <v>597.63599999999997</v>
      </c>
      <c r="F50" s="179">
        <f t="shared" si="25"/>
        <v>1098.809</v>
      </c>
      <c r="G50" s="179">
        <f t="shared" si="25"/>
        <v>3395.502</v>
      </c>
      <c r="H50" s="876"/>
      <c r="I50" s="241"/>
      <c r="J50" s="888">
        <v>3084</v>
      </c>
      <c r="K50" s="179">
        <v>1536</v>
      </c>
      <c r="L50" s="179">
        <v>1072.9000000000001</v>
      </c>
      <c r="M50" s="888">
        <f>J50+K50-L50</f>
        <v>3547.1</v>
      </c>
      <c r="N50" s="241"/>
      <c r="O50" s="241"/>
      <c r="P50" s="179">
        <f>SUM(P51:P54)</f>
        <v>3395.502</v>
      </c>
      <c r="Q50" s="179">
        <f t="shared" ref="Q50:S50" si="26">SUM(Q51:Q54)</f>
        <v>1058.5999999999999</v>
      </c>
      <c r="R50" s="179">
        <f t="shared" si="26"/>
        <v>622.29999999999995</v>
      </c>
      <c r="S50" s="179">
        <f t="shared" si="26"/>
        <v>3831.8019999999997</v>
      </c>
      <c r="T50" s="241"/>
      <c r="U50" s="241"/>
      <c r="V50" s="85">
        <f>SUM(V51:V54)</f>
        <v>3831.8019999999997</v>
      </c>
      <c r="W50" s="85">
        <f t="shared" ref="W50:Y50" si="27">SUM(W51:W54)</f>
        <v>1615.7</v>
      </c>
      <c r="X50" s="85">
        <f t="shared" si="27"/>
        <v>1297.9000000000001</v>
      </c>
      <c r="Y50" s="85">
        <f t="shared" si="27"/>
        <v>4149.6019999999999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179">
        <v>1688.366</v>
      </c>
      <c r="E51" s="179">
        <v>-806.02700000000004</v>
      </c>
      <c r="F51" s="179">
        <v>88.988</v>
      </c>
      <c r="G51" s="888">
        <f t="shared" ref="G51:G54" si="28">D51+E51-F51</f>
        <v>793.35099999999989</v>
      </c>
      <c r="H51" s="876"/>
      <c r="I51" s="241"/>
      <c r="J51" s="888">
        <v>583.79999999999995</v>
      </c>
      <c r="K51" s="179">
        <v>150</v>
      </c>
      <c r="L51" s="179">
        <v>65</v>
      </c>
      <c r="M51" s="888">
        <f t="shared" ref="M51:M54" si="29">J51+K51-L51</f>
        <v>668.8</v>
      </c>
      <c r="N51" s="241"/>
      <c r="O51" s="241"/>
      <c r="P51" s="179">
        <v>793.35099999999989</v>
      </c>
      <c r="Q51" s="179">
        <v>342.8</v>
      </c>
      <c r="R51" s="179">
        <v>226.1</v>
      </c>
      <c r="S51" s="888">
        <f t="shared" ref="S51:S54" si="30">P51+Q51-R51</f>
        <v>910.05099999999982</v>
      </c>
      <c r="T51" s="241"/>
      <c r="U51" s="241"/>
      <c r="V51" s="85">
        <v>910.05099999999982</v>
      </c>
      <c r="W51" s="85">
        <f>200</f>
        <v>200</v>
      </c>
      <c r="X51" s="85">
        <v>250</v>
      </c>
      <c r="Y51" s="52">
        <f t="shared" ref="Y51:Y54" si="31">V51+W51-X51</f>
        <v>860.05099999999993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179">
        <v>1416.825</v>
      </c>
      <c r="E52" s="179">
        <v>792.6</v>
      </c>
      <c r="F52" s="179">
        <v>427.90100000000001</v>
      </c>
      <c r="G52" s="888">
        <f t="shared" si="28"/>
        <v>1781.5240000000001</v>
      </c>
      <c r="H52" s="876"/>
      <c r="I52" s="241"/>
      <c r="J52" s="888">
        <v>1795.2</v>
      </c>
      <c r="K52" s="179">
        <v>776</v>
      </c>
      <c r="L52" s="179">
        <v>427.9</v>
      </c>
      <c r="M52" s="888">
        <f t="shared" si="29"/>
        <v>2143.2999999999997</v>
      </c>
      <c r="N52" s="241"/>
      <c r="O52" s="241"/>
      <c r="P52" s="179">
        <v>1781.5240000000001</v>
      </c>
      <c r="Q52" s="179">
        <v>377.9</v>
      </c>
      <c r="R52" s="179">
        <v>213.3</v>
      </c>
      <c r="S52" s="888">
        <f t="shared" si="30"/>
        <v>1946.124</v>
      </c>
      <c r="T52" s="241"/>
      <c r="U52" s="241"/>
      <c r="V52" s="85">
        <v>1946.124</v>
      </c>
      <c r="W52" s="85">
        <v>770</v>
      </c>
      <c r="X52" s="85">
        <v>427.9</v>
      </c>
      <c r="Y52" s="52">
        <f t="shared" si="31"/>
        <v>2288.2239999999997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179">
        <v>279.96699999999998</v>
      </c>
      <c r="E53" s="179">
        <v>20</v>
      </c>
      <c r="F53" s="179">
        <v>0</v>
      </c>
      <c r="G53" s="888">
        <f t="shared" si="28"/>
        <v>299.96699999999998</v>
      </c>
      <c r="H53" s="876"/>
      <c r="I53" s="241"/>
      <c r="J53" s="888">
        <v>299.89999999999998</v>
      </c>
      <c r="K53" s="179">
        <v>20</v>
      </c>
      <c r="L53" s="179">
        <v>0</v>
      </c>
      <c r="M53" s="888">
        <f t="shared" si="29"/>
        <v>319.89999999999998</v>
      </c>
      <c r="N53" s="241"/>
      <c r="O53" s="241"/>
      <c r="P53" s="179">
        <v>299.96699999999998</v>
      </c>
      <c r="Q53" s="179">
        <v>60</v>
      </c>
      <c r="R53" s="179">
        <v>0</v>
      </c>
      <c r="S53" s="888">
        <f t="shared" si="30"/>
        <v>359.96699999999998</v>
      </c>
      <c r="T53" s="241"/>
      <c r="U53" s="241"/>
      <c r="V53" s="85">
        <v>359.96699999999998</v>
      </c>
      <c r="W53" s="85">
        <v>30</v>
      </c>
      <c r="X53" s="85">
        <v>20</v>
      </c>
      <c r="Y53" s="52">
        <f t="shared" si="31"/>
        <v>369.96699999999998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179">
        <v>511.517</v>
      </c>
      <c r="E54" s="179">
        <v>591.06299999999999</v>
      </c>
      <c r="F54" s="179">
        <v>581.91999999999996</v>
      </c>
      <c r="G54" s="888">
        <f t="shared" si="28"/>
        <v>520.66</v>
      </c>
      <c r="H54" s="876"/>
      <c r="I54" s="241"/>
      <c r="J54" s="888">
        <v>405.1</v>
      </c>
      <c r="K54" s="179">
        <v>590</v>
      </c>
      <c r="L54" s="179">
        <v>580</v>
      </c>
      <c r="M54" s="888">
        <f t="shared" si="29"/>
        <v>415.1</v>
      </c>
      <c r="N54" s="241"/>
      <c r="O54" s="241"/>
      <c r="P54" s="179">
        <v>520.66</v>
      </c>
      <c r="Q54" s="179">
        <v>277.89999999999998</v>
      </c>
      <c r="R54" s="179">
        <v>182.9</v>
      </c>
      <c r="S54" s="888">
        <f t="shared" si="30"/>
        <v>615.66</v>
      </c>
      <c r="T54" s="241"/>
      <c r="U54" s="241"/>
      <c r="V54" s="85">
        <v>615.66</v>
      </c>
      <c r="W54" s="85">
        <v>615.70000000000005</v>
      </c>
      <c r="X54" s="85">
        <v>600</v>
      </c>
      <c r="Y54" s="52">
        <f t="shared" si="31"/>
        <v>631.36000000000013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876"/>
      <c r="E55" s="876"/>
      <c r="F55" s="876"/>
      <c r="G55" s="876"/>
      <c r="H55" s="876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889"/>
      <c r="W55" s="889"/>
      <c r="X55" s="889"/>
      <c r="Y55" s="889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887" t="s">
        <v>75</v>
      </c>
      <c r="E56" s="887" t="s">
        <v>96</v>
      </c>
      <c r="F56" s="876"/>
      <c r="G56" s="876"/>
      <c r="H56" s="876"/>
      <c r="I56" s="877"/>
      <c r="J56" s="887" t="s">
        <v>97</v>
      </c>
      <c r="K56" s="876"/>
      <c r="L56" s="876"/>
      <c r="M56" s="876"/>
      <c r="N56" s="876"/>
      <c r="O56" s="877"/>
      <c r="P56" s="887" t="s">
        <v>98</v>
      </c>
      <c r="Q56" s="877"/>
      <c r="R56" s="877"/>
      <c r="S56" s="877"/>
      <c r="T56" s="877"/>
      <c r="U56" s="877"/>
      <c r="V56" s="99" t="s">
        <v>97</v>
      </c>
      <c r="W56" s="889"/>
      <c r="X56" s="889"/>
      <c r="Y56" s="889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90">
        <v>56</v>
      </c>
      <c r="E57" s="890">
        <v>59</v>
      </c>
      <c r="F57" s="876"/>
      <c r="G57" s="876"/>
      <c r="H57" s="876"/>
      <c r="I57" s="877"/>
      <c r="J57" s="890">
        <v>56</v>
      </c>
      <c r="K57" s="876"/>
      <c r="L57" s="876"/>
      <c r="M57" s="876"/>
      <c r="N57" s="876"/>
      <c r="O57" s="877"/>
      <c r="P57" s="890">
        <v>63.6</v>
      </c>
      <c r="Q57" s="877"/>
      <c r="R57" s="877"/>
      <c r="S57" s="877"/>
      <c r="T57" s="877"/>
      <c r="U57" s="877"/>
      <c r="V57" s="86">
        <v>65</v>
      </c>
      <c r="W57" s="889"/>
      <c r="X57" s="889"/>
      <c r="Y57" s="889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876"/>
      <c r="E58" s="876"/>
      <c r="F58" s="876"/>
      <c r="G58" s="876"/>
      <c r="H58" s="876"/>
      <c r="I58" s="877"/>
      <c r="J58" s="876"/>
      <c r="K58" s="876"/>
      <c r="L58" s="876"/>
      <c r="M58" s="876"/>
      <c r="N58" s="876"/>
      <c r="O58" s="877"/>
      <c r="P58" s="877"/>
      <c r="Q58" s="877"/>
      <c r="R58" s="877"/>
      <c r="S58" s="877"/>
      <c r="T58" s="877"/>
      <c r="U58" s="877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891"/>
      <c r="E59" s="891"/>
      <c r="F59" s="891"/>
      <c r="G59" s="891"/>
      <c r="H59" s="891"/>
      <c r="I59" s="891"/>
      <c r="J59" s="891"/>
      <c r="K59" s="891"/>
      <c r="L59" s="891"/>
      <c r="M59" s="891"/>
      <c r="N59" s="891"/>
      <c r="O59" s="891"/>
      <c r="P59" s="891"/>
      <c r="Q59" s="891"/>
      <c r="R59" s="891"/>
      <c r="S59" s="891"/>
      <c r="T59" s="891"/>
      <c r="U59" s="891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83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83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83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83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83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83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83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83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83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83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83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83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183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24"/>
      <c r="C83" s="91"/>
      <c r="D83" s="91"/>
      <c r="E83" s="91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43"/>
      <c r="C84" s="140"/>
      <c r="D84" s="2"/>
      <c r="E84" s="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24"/>
      <c r="C86" s="125"/>
      <c r="D86" s="2"/>
      <c r="E86" s="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22"/>
      <c r="W86" s="122"/>
      <c r="X86" s="122"/>
      <c r="Y86" s="122"/>
      <c r="Z86" s="122"/>
      <c r="AA86" s="122"/>
      <c r="AB86" s="123"/>
      <c r="AC86" s="4"/>
      <c r="AD86" s="4"/>
    </row>
    <row r="87" spans="1:30" x14ac:dyDescent="0.25">
      <c r="A87" s="5"/>
      <c r="B87" s="134"/>
      <c r="C87" s="135"/>
      <c r="D87" s="136"/>
      <c r="E87" s="136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56"/>
      <c r="W87" s="156"/>
      <c r="X87" s="156"/>
      <c r="Y87" s="156"/>
      <c r="Z87" s="156"/>
      <c r="AA87" s="156"/>
      <c r="AB87" s="157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7"/>
      <c r="B89" s="138"/>
      <c r="C89" s="137"/>
      <c r="D89" s="138"/>
      <c r="E89" s="138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3" t="s">
        <v>80</v>
      </c>
      <c r="C91" s="120">
        <v>45208</v>
      </c>
      <c r="D91" s="53" t="s">
        <v>76</v>
      </c>
      <c r="E91" s="218" t="s">
        <v>237</v>
      </c>
      <c r="F91" s="218"/>
      <c r="G91" s="218"/>
      <c r="H91" s="53"/>
      <c r="I91" s="53" t="s">
        <v>77</v>
      </c>
      <c r="J91" s="222" t="s">
        <v>238</v>
      </c>
      <c r="K91" s="222"/>
      <c r="L91" s="222"/>
      <c r="M91" s="222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 t="s">
        <v>79</v>
      </c>
      <c r="E93" s="55"/>
      <c r="F93" s="55"/>
      <c r="G93" s="55"/>
      <c r="H93" s="53"/>
      <c r="I93" s="53" t="s">
        <v>79</v>
      </c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5"/>
      <c r="F94" s="55"/>
      <c r="G94" s="55"/>
      <c r="H94" s="53"/>
      <c r="I94" s="53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23" priority="3" operator="equal">
      <formula>0</formula>
    </cfRule>
    <cfRule type="containsErrors" dxfId="22" priority="4">
      <formula>ISERROR(AB15)</formula>
    </cfRule>
  </conditionalFormatting>
  <conditionalFormatting sqref="AB28:AB41">
    <cfRule type="cellIs" dxfId="21" priority="1" operator="equal">
      <formula>0</formula>
    </cfRule>
    <cfRule type="containsErrors" dxfId="2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zoomScale="80" zoomScaleNormal="80" zoomScaleSheetLayoutView="80" workbookViewId="0">
      <pane xSplit="1" topLeftCell="B1" activePane="topRight" state="frozen"/>
      <selection pane="topRight" activeCell="B2" sqref="B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247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3" t="s">
        <v>248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428">
        <v>831476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184" t="s">
        <v>249</v>
      </c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10" t="s">
        <v>37</v>
      </c>
      <c r="C10" s="227" t="s">
        <v>38</v>
      </c>
      <c r="D10" s="185" t="s">
        <v>100</v>
      </c>
      <c r="E10" s="186"/>
      <c r="F10" s="186"/>
      <c r="G10" s="186"/>
      <c r="H10" s="186"/>
      <c r="I10" s="187"/>
      <c r="J10" s="185" t="s">
        <v>101</v>
      </c>
      <c r="K10" s="186"/>
      <c r="L10" s="186"/>
      <c r="M10" s="186"/>
      <c r="N10" s="186"/>
      <c r="O10" s="187"/>
      <c r="P10" s="185" t="s">
        <v>102</v>
      </c>
      <c r="Q10" s="186"/>
      <c r="R10" s="186"/>
      <c r="S10" s="186"/>
      <c r="T10" s="186"/>
      <c r="U10" s="187"/>
      <c r="V10" s="185" t="s">
        <v>103</v>
      </c>
      <c r="W10" s="186"/>
      <c r="X10" s="186"/>
      <c r="Y10" s="186"/>
      <c r="Z10" s="186"/>
      <c r="AA10" s="187"/>
      <c r="AB10" s="234" t="s">
        <v>99</v>
      </c>
      <c r="AC10" s="4"/>
      <c r="AD10" s="4"/>
    </row>
    <row r="11" spans="1:30" ht="30.75" customHeight="1" thickBot="1" x14ac:dyDescent="0.3">
      <c r="A11" s="5"/>
      <c r="B11" s="211"/>
      <c r="C11" s="228"/>
      <c r="D11" s="188" t="s">
        <v>39</v>
      </c>
      <c r="E11" s="189"/>
      <c r="F11" s="189"/>
      <c r="G11" s="190"/>
      <c r="H11" s="9" t="s">
        <v>40</v>
      </c>
      <c r="I11" s="9" t="s">
        <v>61</v>
      </c>
      <c r="J11" s="188" t="s">
        <v>39</v>
      </c>
      <c r="K11" s="189"/>
      <c r="L11" s="189"/>
      <c r="M11" s="190"/>
      <c r="N11" s="9" t="s">
        <v>40</v>
      </c>
      <c r="O11" s="9" t="s">
        <v>61</v>
      </c>
      <c r="P11" s="188" t="s">
        <v>39</v>
      </c>
      <c r="Q11" s="189"/>
      <c r="R11" s="189"/>
      <c r="S11" s="190"/>
      <c r="T11" s="9" t="s">
        <v>40</v>
      </c>
      <c r="U11" s="9" t="s">
        <v>61</v>
      </c>
      <c r="V11" s="188" t="s">
        <v>39</v>
      </c>
      <c r="W11" s="189"/>
      <c r="X11" s="189"/>
      <c r="Y11" s="190"/>
      <c r="Z11" s="9" t="s">
        <v>40</v>
      </c>
      <c r="AA11" s="9" t="s">
        <v>61</v>
      </c>
      <c r="AB11" s="235"/>
      <c r="AC11" s="4"/>
      <c r="AD11" s="4"/>
    </row>
    <row r="12" spans="1:30" ht="15.75" customHeight="1" thickBot="1" x14ac:dyDescent="0.3">
      <c r="A12" s="5"/>
      <c r="B12" s="211"/>
      <c r="C12" s="229"/>
      <c r="D12" s="191" t="s">
        <v>62</v>
      </c>
      <c r="E12" s="192"/>
      <c r="F12" s="192"/>
      <c r="G12" s="192"/>
      <c r="H12" s="192"/>
      <c r="I12" s="193"/>
      <c r="J12" s="191" t="s">
        <v>62</v>
      </c>
      <c r="K12" s="192"/>
      <c r="L12" s="192"/>
      <c r="M12" s="192"/>
      <c r="N12" s="192"/>
      <c r="O12" s="193"/>
      <c r="P12" s="191" t="s">
        <v>62</v>
      </c>
      <c r="Q12" s="192"/>
      <c r="R12" s="192"/>
      <c r="S12" s="192"/>
      <c r="T12" s="192"/>
      <c r="U12" s="193"/>
      <c r="V12" s="191" t="s">
        <v>62</v>
      </c>
      <c r="W12" s="192"/>
      <c r="X12" s="192"/>
      <c r="Y12" s="192"/>
      <c r="Z12" s="192"/>
      <c r="AA12" s="193"/>
      <c r="AB12" s="235"/>
      <c r="AC12" s="4"/>
      <c r="AD12" s="4"/>
    </row>
    <row r="13" spans="1:30" ht="15.75" customHeight="1" thickBot="1" x14ac:dyDescent="0.3">
      <c r="A13" s="5"/>
      <c r="B13" s="212"/>
      <c r="C13" s="230"/>
      <c r="D13" s="194" t="s">
        <v>57</v>
      </c>
      <c r="E13" s="195"/>
      <c r="F13" s="195"/>
      <c r="G13" s="196" t="s">
        <v>63</v>
      </c>
      <c r="H13" s="198" t="s">
        <v>66</v>
      </c>
      <c r="I13" s="200" t="s">
        <v>62</v>
      </c>
      <c r="J13" s="194" t="s">
        <v>57</v>
      </c>
      <c r="K13" s="195"/>
      <c r="L13" s="195"/>
      <c r="M13" s="196" t="s">
        <v>63</v>
      </c>
      <c r="N13" s="198" t="s">
        <v>66</v>
      </c>
      <c r="O13" s="200" t="s">
        <v>62</v>
      </c>
      <c r="P13" s="194" t="s">
        <v>57</v>
      </c>
      <c r="Q13" s="195"/>
      <c r="R13" s="195"/>
      <c r="S13" s="196" t="s">
        <v>63</v>
      </c>
      <c r="T13" s="198" t="s">
        <v>66</v>
      </c>
      <c r="U13" s="200" t="s">
        <v>62</v>
      </c>
      <c r="V13" s="194" t="s">
        <v>57</v>
      </c>
      <c r="W13" s="195"/>
      <c r="X13" s="195"/>
      <c r="Y13" s="196" t="s">
        <v>63</v>
      </c>
      <c r="Z13" s="198" t="s">
        <v>66</v>
      </c>
      <c r="AA13" s="200" t="s">
        <v>62</v>
      </c>
      <c r="AB13" s="235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197"/>
      <c r="H14" s="199"/>
      <c r="I14" s="201"/>
      <c r="J14" s="141" t="s">
        <v>58</v>
      </c>
      <c r="K14" s="142" t="s">
        <v>90</v>
      </c>
      <c r="L14" s="142" t="s">
        <v>59</v>
      </c>
      <c r="M14" s="197"/>
      <c r="N14" s="199"/>
      <c r="O14" s="201"/>
      <c r="P14" s="141" t="s">
        <v>58</v>
      </c>
      <c r="Q14" s="142" t="s">
        <v>90</v>
      </c>
      <c r="R14" s="142" t="s">
        <v>59</v>
      </c>
      <c r="S14" s="197"/>
      <c r="T14" s="199"/>
      <c r="U14" s="201"/>
      <c r="V14" s="141" t="s">
        <v>58</v>
      </c>
      <c r="W14" s="142" t="s">
        <v>90</v>
      </c>
      <c r="X14" s="142" t="s">
        <v>59</v>
      </c>
      <c r="Y14" s="197"/>
      <c r="Z14" s="199"/>
      <c r="AA14" s="201"/>
      <c r="AB14" s="236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1218.5999999999999</v>
      </c>
      <c r="G15" s="63">
        <f>SUM(D15:F15)</f>
        <v>1218.5999999999999</v>
      </c>
      <c r="H15" s="66">
        <v>177.4</v>
      </c>
      <c r="I15" s="14">
        <f>G15+H15</f>
        <v>1396</v>
      </c>
      <c r="J15" s="12"/>
      <c r="K15" s="13"/>
      <c r="L15" s="56">
        <v>1250</v>
      </c>
      <c r="M15" s="63">
        <f t="shared" ref="M15:M23" si="0">SUM(J15:L15)</f>
        <v>1250</v>
      </c>
      <c r="N15" s="66"/>
      <c r="O15" s="14">
        <f>M15+N15</f>
        <v>1250</v>
      </c>
      <c r="P15" s="12"/>
      <c r="Q15" s="13"/>
      <c r="R15" s="56">
        <v>850.5</v>
      </c>
      <c r="S15" s="63">
        <f>SUM(P15:R15)</f>
        <v>850.5</v>
      </c>
      <c r="T15" s="66">
        <v>89</v>
      </c>
      <c r="U15" s="14">
        <f>S15+T15</f>
        <v>939.5</v>
      </c>
      <c r="V15" s="12"/>
      <c r="W15" s="13"/>
      <c r="X15" s="56">
        <v>1400</v>
      </c>
      <c r="Y15" s="63">
        <f>SUM(V15:X15)</f>
        <v>1400</v>
      </c>
      <c r="Z15" s="66">
        <v>120</v>
      </c>
      <c r="AA15" s="14">
        <f>Y15+Z15</f>
        <v>1520</v>
      </c>
      <c r="AB15" s="147">
        <f>(AA15/O15)</f>
        <v>1.216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5356.5</v>
      </c>
      <c r="E16" s="16"/>
      <c r="F16" s="16"/>
      <c r="G16" s="64">
        <f t="shared" ref="G16:G23" si="1">SUM(D16:F16)</f>
        <v>5356.5</v>
      </c>
      <c r="H16" s="67"/>
      <c r="I16" s="14">
        <f t="shared" ref="I16:I23" si="2">G16+H16</f>
        <v>5356.5</v>
      </c>
      <c r="J16" s="57">
        <v>5941.3</v>
      </c>
      <c r="K16" s="16"/>
      <c r="L16" s="16"/>
      <c r="M16" s="64">
        <f t="shared" si="0"/>
        <v>5941.3</v>
      </c>
      <c r="N16" s="67"/>
      <c r="O16" s="14">
        <f t="shared" ref="O16:O20" si="3">M16+N16</f>
        <v>5941.3</v>
      </c>
      <c r="P16" s="57">
        <v>2835.2</v>
      </c>
      <c r="Q16" s="16"/>
      <c r="R16" s="16"/>
      <c r="S16" s="64">
        <f t="shared" ref="S16:S23" si="4">SUM(P16:R16)</f>
        <v>2835.2</v>
      </c>
      <c r="T16" s="67"/>
      <c r="U16" s="14">
        <f t="shared" ref="U16:U20" si="5">S16+T16</f>
        <v>2835.2</v>
      </c>
      <c r="V16" s="57">
        <v>5941.3</v>
      </c>
      <c r="W16" s="16"/>
      <c r="X16" s="16"/>
      <c r="Y16" s="64">
        <f t="shared" ref="Y16:Y23" si="6">SUM(V16:X16)</f>
        <v>5941.3</v>
      </c>
      <c r="Z16" s="67"/>
      <c r="AA16" s="14">
        <f t="shared" ref="AA16:AA20" si="7">Y16+Z16</f>
        <v>5941.3</v>
      </c>
      <c r="AB16" s="147">
        <f t="shared" ref="AB16:AB24" si="8">(AA16/O16)</f>
        <v>1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>
        <v>452.3</v>
      </c>
      <c r="E17" s="17"/>
      <c r="F17" s="17"/>
      <c r="G17" s="64">
        <f t="shared" si="1"/>
        <v>452.3</v>
      </c>
      <c r="H17" s="68"/>
      <c r="I17" s="14">
        <f t="shared" si="2"/>
        <v>452.3</v>
      </c>
      <c r="J17" s="58">
        <v>384.2</v>
      </c>
      <c r="K17" s="17"/>
      <c r="L17" s="17"/>
      <c r="M17" s="64">
        <f t="shared" si="0"/>
        <v>384.2</v>
      </c>
      <c r="N17" s="68"/>
      <c r="O17" s="14">
        <f t="shared" si="3"/>
        <v>384.2</v>
      </c>
      <c r="P17" s="58">
        <v>228.8</v>
      </c>
      <c r="Q17" s="17"/>
      <c r="R17" s="17"/>
      <c r="S17" s="64">
        <f t="shared" si="4"/>
        <v>228.8</v>
      </c>
      <c r="T17" s="68"/>
      <c r="U17" s="14">
        <f t="shared" si="5"/>
        <v>228.8</v>
      </c>
      <c r="V17" s="58">
        <v>1157.5</v>
      </c>
      <c r="W17" s="17"/>
      <c r="X17" s="17"/>
      <c r="Y17" s="64">
        <f t="shared" si="6"/>
        <v>1157.5</v>
      </c>
      <c r="Z17" s="68"/>
      <c r="AA17" s="14">
        <f t="shared" si="7"/>
        <v>1157.5</v>
      </c>
      <c r="AB17" s="147">
        <f t="shared" si="8"/>
        <v>3.012753774076002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44825.5</v>
      </c>
      <c r="F18" s="17"/>
      <c r="G18" s="64">
        <f t="shared" si="1"/>
        <v>44825.5</v>
      </c>
      <c r="H18" s="66"/>
      <c r="I18" s="14">
        <f t="shared" si="2"/>
        <v>44825.5</v>
      </c>
      <c r="J18" s="18"/>
      <c r="K18" s="59">
        <v>38476</v>
      </c>
      <c r="L18" s="17"/>
      <c r="M18" s="64">
        <f t="shared" si="0"/>
        <v>38476</v>
      </c>
      <c r="N18" s="66"/>
      <c r="O18" s="14">
        <f t="shared" si="3"/>
        <v>38476</v>
      </c>
      <c r="P18" s="18"/>
      <c r="Q18" s="59">
        <v>23836.5</v>
      </c>
      <c r="R18" s="17"/>
      <c r="S18" s="64">
        <f t="shared" si="4"/>
        <v>23836.5</v>
      </c>
      <c r="T18" s="66"/>
      <c r="U18" s="14">
        <f t="shared" si="5"/>
        <v>23836.5</v>
      </c>
      <c r="V18" s="18"/>
      <c r="W18" s="59">
        <v>39837</v>
      </c>
      <c r="X18" s="17"/>
      <c r="Y18" s="64">
        <f t="shared" si="6"/>
        <v>39837</v>
      </c>
      <c r="Z18" s="66"/>
      <c r="AA18" s="14">
        <f t="shared" si="7"/>
        <v>39837</v>
      </c>
      <c r="AB18" s="147">
        <f t="shared" si="8"/>
        <v>1.0353726998648509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550.29999999999995</v>
      </c>
      <c r="G19" s="64">
        <f t="shared" si="1"/>
        <v>550.29999999999995</v>
      </c>
      <c r="H19" s="69"/>
      <c r="I19" s="14">
        <f t="shared" si="2"/>
        <v>550.29999999999995</v>
      </c>
      <c r="J19" s="19"/>
      <c r="K19" s="17"/>
      <c r="L19" s="60">
        <v>550.29999999999995</v>
      </c>
      <c r="M19" s="64">
        <f t="shared" si="0"/>
        <v>550.29999999999995</v>
      </c>
      <c r="N19" s="69"/>
      <c r="O19" s="14">
        <f t="shared" si="3"/>
        <v>550.29999999999995</v>
      </c>
      <c r="P19" s="19"/>
      <c r="Q19" s="17"/>
      <c r="R19" s="60">
        <v>275.2</v>
      </c>
      <c r="S19" s="64">
        <f t="shared" si="4"/>
        <v>275.2</v>
      </c>
      <c r="T19" s="69"/>
      <c r="U19" s="14">
        <f t="shared" si="5"/>
        <v>275.2</v>
      </c>
      <c r="V19" s="19"/>
      <c r="W19" s="17"/>
      <c r="X19" s="60">
        <v>550.29999999999995</v>
      </c>
      <c r="Y19" s="64">
        <f t="shared" si="6"/>
        <v>550.29999999999995</v>
      </c>
      <c r="Z19" s="69"/>
      <c r="AA19" s="14">
        <f t="shared" si="7"/>
        <v>550.29999999999995</v>
      </c>
      <c r="AB19" s="147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>
        <v>101.5</v>
      </c>
      <c r="G20" s="64">
        <f t="shared" si="1"/>
        <v>101.5</v>
      </c>
      <c r="H20" s="69"/>
      <c r="I20" s="14">
        <f t="shared" si="2"/>
        <v>101.5</v>
      </c>
      <c r="J20" s="18"/>
      <c r="K20" s="16"/>
      <c r="L20" s="61"/>
      <c r="M20" s="64">
        <f t="shared" si="0"/>
        <v>0</v>
      </c>
      <c r="N20" s="69"/>
      <c r="O20" s="14">
        <f t="shared" si="3"/>
        <v>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61"/>
      <c r="Y20" s="64">
        <f t="shared" si="6"/>
        <v>0</v>
      </c>
      <c r="Z20" s="69"/>
      <c r="AA20" s="14">
        <f t="shared" si="7"/>
        <v>0</v>
      </c>
      <c r="AB20" s="147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314.5</v>
      </c>
      <c r="G21" s="64">
        <f t="shared" si="1"/>
        <v>314.5</v>
      </c>
      <c r="H21" s="70"/>
      <c r="I21" s="14">
        <f>G21+H21</f>
        <v>314.5</v>
      </c>
      <c r="J21" s="18"/>
      <c r="K21" s="16"/>
      <c r="L21" s="61"/>
      <c r="M21" s="64">
        <f t="shared" si="0"/>
        <v>0</v>
      </c>
      <c r="N21" s="70">
        <v>120</v>
      </c>
      <c r="O21" s="14">
        <f>M21+N21</f>
        <v>120</v>
      </c>
      <c r="P21" s="18"/>
      <c r="Q21" s="16"/>
      <c r="R21" s="61">
        <v>163.30000000000001</v>
      </c>
      <c r="S21" s="64">
        <f t="shared" si="4"/>
        <v>163.30000000000001</v>
      </c>
      <c r="T21" s="70"/>
      <c r="U21" s="14">
        <f>S21+T21</f>
        <v>163.30000000000001</v>
      </c>
      <c r="V21" s="18"/>
      <c r="W21" s="16"/>
      <c r="X21" s="61">
        <v>150</v>
      </c>
      <c r="Y21" s="64">
        <f t="shared" si="6"/>
        <v>150</v>
      </c>
      <c r="Z21" s="70"/>
      <c r="AA21" s="14">
        <f>Y21+Z21</f>
        <v>150</v>
      </c>
      <c r="AB21" s="147">
        <f t="shared" si="8"/>
        <v>1.25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/>
      <c r="G22" s="64">
        <f t="shared" si="1"/>
        <v>0</v>
      </c>
      <c r="H22" s="70"/>
      <c r="I22" s="14">
        <f t="shared" si="2"/>
        <v>0</v>
      </c>
      <c r="J22" s="18"/>
      <c r="K22" s="16"/>
      <c r="L22" s="61"/>
      <c r="M22" s="64">
        <f t="shared" si="0"/>
        <v>0</v>
      </c>
      <c r="N22" s="70">
        <v>120</v>
      </c>
      <c r="O22" s="14">
        <f t="shared" ref="O22:O23" si="9">M22+N22</f>
        <v>120</v>
      </c>
      <c r="P22" s="18"/>
      <c r="Q22" s="16"/>
      <c r="R22" s="61"/>
      <c r="S22" s="64">
        <f t="shared" si="4"/>
        <v>0</v>
      </c>
      <c r="T22" s="70"/>
      <c r="U22" s="14">
        <f t="shared" ref="U22:U23" si="10">S22+T22</f>
        <v>0</v>
      </c>
      <c r="V22" s="18"/>
      <c r="W22" s="16"/>
      <c r="X22" s="61"/>
      <c r="Y22" s="64">
        <f t="shared" si="6"/>
        <v>0</v>
      </c>
      <c r="Z22" s="70"/>
      <c r="AA22" s="14">
        <f t="shared" ref="AA22:AA23" si="11">Y22+Z22</f>
        <v>0</v>
      </c>
      <c r="AB22" s="147">
        <f t="shared" si="8"/>
        <v>0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/>
      <c r="G23" s="65">
        <f t="shared" si="1"/>
        <v>0</v>
      </c>
      <c r="H23" s="71"/>
      <c r="I23" s="23">
        <f t="shared" si="2"/>
        <v>0</v>
      </c>
      <c r="J23" s="21"/>
      <c r="K23" s="22"/>
      <c r="L23" s="62"/>
      <c r="M23" s="65">
        <f t="shared" si="0"/>
        <v>0</v>
      </c>
      <c r="N23" s="71"/>
      <c r="O23" s="23">
        <f t="shared" si="9"/>
        <v>0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/>
      <c r="Y23" s="65">
        <f t="shared" si="6"/>
        <v>0</v>
      </c>
      <c r="Z23" s="71"/>
      <c r="AA23" s="23">
        <f t="shared" si="11"/>
        <v>0</v>
      </c>
      <c r="AB23" s="150" t="e">
        <f t="shared" si="8"/>
        <v>#DIV/0!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5808.8</v>
      </c>
      <c r="E24" s="27">
        <f>SUM(E15:E21)</f>
        <v>44825.5</v>
      </c>
      <c r="F24" s="27">
        <f>SUM(F15:F21)</f>
        <v>2184.8999999999996</v>
      </c>
      <c r="G24" s="28">
        <f>SUM(D24:F24)</f>
        <v>52819.200000000004</v>
      </c>
      <c r="H24" s="29">
        <f>SUM(H15:H21)</f>
        <v>177.4</v>
      </c>
      <c r="I24" s="29">
        <f>SUM(I15:I21)</f>
        <v>52996.600000000006</v>
      </c>
      <c r="J24" s="26">
        <f>SUM(J15:J21)</f>
        <v>6325.5</v>
      </c>
      <c r="K24" s="27">
        <f>SUM(K15:K21)</f>
        <v>38476</v>
      </c>
      <c r="L24" s="27">
        <f>SUM(L15:L21)</f>
        <v>1800.3</v>
      </c>
      <c r="M24" s="28">
        <f>SUM(J24:L24)</f>
        <v>46601.8</v>
      </c>
      <c r="N24" s="29">
        <f>SUM(N15:N21)</f>
        <v>120</v>
      </c>
      <c r="O24" s="29">
        <f>SUM(O15:O21)</f>
        <v>46721.8</v>
      </c>
      <c r="P24" s="26">
        <f>SUM(P15:P21)</f>
        <v>3064</v>
      </c>
      <c r="Q24" s="27">
        <f>SUM(Q15:Q21)</f>
        <v>23836.5</v>
      </c>
      <c r="R24" s="27">
        <f>SUM(R15:R21)</f>
        <v>1289</v>
      </c>
      <c r="S24" s="28">
        <f>SUM(P24:R24)</f>
        <v>28189.5</v>
      </c>
      <c r="T24" s="29">
        <f>SUM(T15:T21)</f>
        <v>89</v>
      </c>
      <c r="U24" s="29">
        <f>SUM(U15:U21)</f>
        <v>28278.5</v>
      </c>
      <c r="V24" s="26">
        <f>SUM(V15:V21)</f>
        <v>7098.8</v>
      </c>
      <c r="W24" s="27">
        <f>SUM(W15:W21)</f>
        <v>39837</v>
      </c>
      <c r="X24" s="27">
        <f>SUM(X15:X21)</f>
        <v>2100.3000000000002</v>
      </c>
      <c r="Y24" s="28">
        <f>SUM(V24:X24)</f>
        <v>49036.100000000006</v>
      </c>
      <c r="Z24" s="29">
        <f>SUM(Z15:Z21)</f>
        <v>120</v>
      </c>
      <c r="AA24" s="29">
        <f>SUM(AA15:AA21)</f>
        <v>49156.100000000006</v>
      </c>
      <c r="AB24" s="151">
        <f t="shared" si="8"/>
        <v>1.0521020166175106</v>
      </c>
      <c r="AC24" s="4"/>
      <c r="AD24" s="4"/>
    </row>
    <row r="25" spans="1:30" ht="15.75" customHeight="1" thickBot="1" x14ac:dyDescent="0.3">
      <c r="A25" s="5"/>
      <c r="B25" s="30"/>
      <c r="C25" s="31"/>
      <c r="D25" s="202" t="s">
        <v>68</v>
      </c>
      <c r="E25" s="203"/>
      <c r="F25" s="203"/>
      <c r="G25" s="204"/>
      <c r="H25" s="204"/>
      <c r="I25" s="205"/>
      <c r="J25" s="202" t="s">
        <v>68</v>
      </c>
      <c r="K25" s="203"/>
      <c r="L25" s="203"/>
      <c r="M25" s="204"/>
      <c r="N25" s="204"/>
      <c r="O25" s="205"/>
      <c r="P25" s="202" t="s">
        <v>68</v>
      </c>
      <c r="Q25" s="203"/>
      <c r="R25" s="203"/>
      <c r="S25" s="204"/>
      <c r="T25" s="204"/>
      <c r="U25" s="205"/>
      <c r="V25" s="202" t="s">
        <v>68</v>
      </c>
      <c r="W25" s="203"/>
      <c r="X25" s="203"/>
      <c r="Y25" s="204"/>
      <c r="Z25" s="204"/>
      <c r="AA25" s="205"/>
      <c r="AB25" s="231" t="s">
        <v>99</v>
      </c>
      <c r="AC25" s="4"/>
      <c r="AD25" s="4"/>
    </row>
    <row r="26" spans="1:30" ht="15.75" thickBot="1" x14ac:dyDescent="0.3">
      <c r="A26" s="5"/>
      <c r="B26" s="220" t="s">
        <v>37</v>
      </c>
      <c r="C26" s="227" t="s">
        <v>38</v>
      </c>
      <c r="D26" s="206" t="s">
        <v>69</v>
      </c>
      <c r="E26" s="207"/>
      <c r="F26" s="207"/>
      <c r="G26" s="208" t="s">
        <v>64</v>
      </c>
      <c r="H26" s="213" t="s">
        <v>67</v>
      </c>
      <c r="I26" s="215" t="s">
        <v>68</v>
      </c>
      <c r="J26" s="206" t="s">
        <v>69</v>
      </c>
      <c r="K26" s="207"/>
      <c r="L26" s="207"/>
      <c r="M26" s="208" t="s">
        <v>64</v>
      </c>
      <c r="N26" s="213" t="s">
        <v>67</v>
      </c>
      <c r="O26" s="215" t="s">
        <v>68</v>
      </c>
      <c r="P26" s="206" t="s">
        <v>69</v>
      </c>
      <c r="Q26" s="207"/>
      <c r="R26" s="207"/>
      <c r="S26" s="208" t="s">
        <v>64</v>
      </c>
      <c r="T26" s="213" t="s">
        <v>67</v>
      </c>
      <c r="U26" s="215" t="s">
        <v>68</v>
      </c>
      <c r="V26" s="206" t="s">
        <v>69</v>
      </c>
      <c r="W26" s="207"/>
      <c r="X26" s="207"/>
      <c r="Y26" s="208" t="s">
        <v>64</v>
      </c>
      <c r="Z26" s="213" t="s">
        <v>67</v>
      </c>
      <c r="AA26" s="215" t="s">
        <v>68</v>
      </c>
      <c r="AB26" s="232"/>
      <c r="AC26" s="4"/>
      <c r="AD26" s="4"/>
    </row>
    <row r="27" spans="1:30" ht="15.75" thickBot="1" x14ac:dyDescent="0.3">
      <c r="A27" s="5"/>
      <c r="B27" s="221"/>
      <c r="C27" s="228"/>
      <c r="D27" s="32" t="s">
        <v>54</v>
      </c>
      <c r="E27" s="33" t="s">
        <v>55</v>
      </c>
      <c r="F27" s="34" t="s">
        <v>56</v>
      </c>
      <c r="G27" s="209"/>
      <c r="H27" s="214"/>
      <c r="I27" s="216"/>
      <c r="J27" s="32" t="s">
        <v>54</v>
      </c>
      <c r="K27" s="33" t="s">
        <v>55</v>
      </c>
      <c r="L27" s="34" t="s">
        <v>56</v>
      </c>
      <c r="M27" s="209"/>
      <c r="N27" s="214"/>
      <c r="O27" s="216"/>
      <c r="P27" s="32" t="s">
        <v>54</v>
      </c>
      <c r="Q27" s="33" t="s">
        <v>55</v>
      </c>
      <c r="R27" s="34" t="s">
        <v>56</v>
      </c>
      <c r="S27" s="209"/>
      <c r="T27" s="214"/>
      <c r="U27" s="216"/>
      <c r="V27" s="32" t="s">
        <v>54</v>
      </c>
      <c r="W27" s="33" t="s">
        <v>55</v>
      </c>
      <c r="X27" s="34" t="s">
        <v>56</v>
      </c>
      <c r="Y27" s="209"/>
      <c r="Z27" s="214"/>
      <c r="AA27" s="216"/>
      <c r="AB27" s="233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362.4</v>
      </c>
      <c r="E28" s="72"/>
      <c r="F28" s="72">
        <v>29.4</v>
      </c>
      <c r="G28" s="73">
        <f>SUM(D28:F28)</f>
        <v>391.79999999999995</v>
      </c>
      <c r="H28" s="73"/>
      <c r="I28" s="37">
        <f>G28+H28</f>
        <v>391.79999999999995</v>
      </c>
      <c r="J28" s="80">
        <v>740</v>
      </c>
      <c r="K28" s="72"/>
      <c r="L28" s="72"/>
      <c r="M28" s="73">
        <f>SUM(J28:L28)</f>
        <v>740</v>
      </c>
      <c r="N28" s="73"/>
      <c r="O28" s="37">
        <f>M28+N28</f>
        <v>740</v>
      </c>
      <c r="P28" s="80">
        <v>378.7</v>
      </c>
      <c r="Q28" s="72"/>
      <c r="R28" s="72">
        <v>9.6999999999999993</v>
      </c>
      <c r="S28" s="73">
        <f>SUM(P28:R28)</f>
        <v>388.4</v>
      </c>
      <c r="T28" s="73"/>
      <c r="U28" s="37">
        <f>S28+T28</f>
        <v>388.4</v>
      </c>
      <c r="V28" s="80">
        <v>865.4</v>
      </c>
      <c r="W28" s="72"/>
      <c r="X28" s="72"/>
      <c r="Y28" s="73">
        <f>SUM(V28:X28)</f>
        <v>865.4</v>
      </c>
      <c r="Z28" s="73"/>
      <c r="AA28" s="37">
        <f>Y28+Z28</f>
        <v>865.4</v>
      </c>
      <c r="AB28" s="147">
        <f t="shared" ref="AB28:AB41" si="12">(AA28/O28)</f>
        <v>1.1694594594594594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74">
        <v>818.3</v>
      </c>
      <c r="E29" s="74">
        <v>647.79999999999995</v>
      </c>
      <c r="F29" s="74">
        <v>1259.5999999999999</v>
      </c>
      <c r="G29" s="75">
        <f t="shared" ref="G29:G38" si="13">SUM(D29:F29)</f>
        <v>2725.7</v>
      </c>
      <c r="H29" s="76"/>
      <c r="I29" s="14">
        <f t="shared" ref="I29:I38" si="14">G29+H29</f>
        <v>2725.7</v>
      </c>
      <c r="J29" s="81">
        <v>482.2</v>
      </c>
      <c r="K29" s="74">
        <v>282.3</v>
      </c>
      <c r="L29" s="74">
        <v>1250</v>
      </c>
      <c r="M29" s="75">
        <f t="shared" ref="M29:M38" si="15">SUM(J29:L29)</f>
        <v>2014.5</v>
      </c>
      <c r="N29" s="76"/>
      <c r="O29" s="14">
        <f t="shared" ref="O29:O38" si="16">M29+N29</f>
        <v>2014.5</v>
      </c>
      <c r="P29" s="81">
        <v>209.7</v>
      </c>
      <c r="Q29" s="74">
        <v>143.9</v>
      </c>
      <c r="R29" s="74">
        <v>843.9</v>
      </c>
      <c r="S29" s="75">
        <f t="shared" ref="S29:S38" si="17">SUM(P29:R29)</f>
        <v>1197.5</v>
      </c>
      <c r="T29" s="76"/>
      <c r="U29" s="14">
        <f t="shared" ref="U29:U38" si="18">S29+T29</f>
        <v>1197.5</v>
      </c>
      <c r="V29" s="81">
        <v>483.2</v>
      </c>
      <c r="W29" s="74">
        <v>282.3</v>
      </c>
      <c r="X29" s="74">
        <v>1400</v>
      </c>
      <c r="Y29" s="75">
        <f t="shared" ref="Y29:Y38" si="19">SUM(V29:X29)</f>
        <v>2165.5</v>
      </c>
      <c r="Z29" s="76"/>
      <c r="AA29" s="14">
        <f t="shared" ref="AA29:AA38" si="20">Y29+Z29</f>
        <v>2165.5</v>
      </c>
      <c r="AB29" s="147">
        <f t="shared" si="12"/>
        <v>1.0749565649044428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1858.2</v>
      </c>
      <c r="E30" s="77"/>
      <c r="F30" s="77" t="s">
        <v>87</v>
      </c>
      <c r="G30" s="75">
        <f t="shared" si="13"/>
        <v>1858.2</v>
      </c>
      <c r="H30" s="75">
        <v>37.799999999999997</v>
      </c>
      <c r="I30" s="14">
        <f t="shared" si="14"/>
        <v>1896</v>
      </c>
      <c r="J30" s="82">
        <v>2681.3</v>
      </c>
      <c r="K30" s="77"/>
      <c r="L30" s="77"/>
      <c r="M30" s="75">
        <f t="shared" si="15"/>
        <v>2681.3</v>
      </c>
      <c r="N30" s="75">
        <v>120</v>
      </c>
      <c r="O30" s="14">
        <f t="shared" si="16"/>
        <v>2801.3</v>
      </c>
      <c r="P30" s="82">
        <v>1267.8</v>
      </c>
      <c r="Q30" s="77"/>
      <c r="R30" s="77"/>
      <c r="S30" s="75">
        <f t="shared" si="17"/>
        <v>1267.8</v>
      </c>
      <c r="T30" s="75"/>
      <c r="U30" s="14">
        <f t="shared" si="18"/>
        <v>1267.8</v>
      </c>
      <c r="V30" s="82">
        <v>2501.3000000000002</v>
      </c>
      <c r="W30" s="77"/>
      <c r="X30" s="77"/>
      <c r="Y30" s="75">
        <f t="shared" si="19"/>
        <v>2501.3000000000002</v>
      </c>
      <c r="Z30" s="75">
        <v>120</v>
      </c>
      <c r="AA30" s="14">
        <f t="shared" si="20"/>
        <v>2621.3000000000002</v>
      </c>
      <c r="AB30" s="147">
        <f t="shared" si="12"/>
        <v>0.93574411880198483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1016.3</v>
      </c>
      <c r="E31" s="77">
        <v>559.29999999999995</v>
      </c>
      <c r="F31" s="77">
        <v>183.3</v>
      </c>
      <c r="G31" s="75">
        <f t="shared" si="13"/>
        <v>1758.8999999999999</v>
      </c>
      <c r="H31" s="75"/>
      <c r="I31" s="14">
        <f t="shared" si="14"/>
        <v>1758.8999999999999</v>
      </c>
      <c r="J31" s="82">
        <v>983.8</v>
      </c>
      <c r="K31" s="77"/>
      <c r="L31" s="77"/>
      <c r="M31" s="75">
        <f t="shared" si="15"/>
        <v>983.8</v>
      </c>
      <c r="N31" s="75"/>
      <c r="O31" s="14">
        <f t="shared" si="16"/>
        <v>983.8</v>
      </c>
      <c r="P31" s="82">
        <v>345.2</v>
      </c>
      <c r="Q31" s="77">
        <v>1708.7</v>
      </c>
      <c r="R31" s="77">
        <v>64.3</v>
      </c>
      <c r="S31" s="75">
        <f t="shared" si="17"/>
        <v>2118.2000000000003</v>
      </c>
      <c r="T31" s="75"/>
      <c r="U31" s="14">
        <f t="shared" si="18"/>
        <v>2118.2000000000003</v>
      </c>
      <c r="V31" s="82">
        <v>1645.4</v>
      </c>
      <c r="W31" s="77"/>
      <c r="X31" s="77">
        <v>120</v>
      </c>
      <c r="Y31" s="75">
        <f t="shared" si="19"/>
        <v>1765.4</v>
      </c>
      <c r="Z31" s="75"/>
      <c r="AA31" s="14">
        <f t="shared" si="20"/>
        <v>1765.4</v>
      </c>
      <c r="AB31" s="147">
        <f t="shared" si="12"/>
        <v>1.7944704208172395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499">
        <v>408.9</v>
      </c>
      <c r="E32" s="77">
        <v>30862</v>
      </c>
      <c r="F32" s="77">
        <v>73.7</v>
      </c>
      <c r="G32" s="75">
        <f t="shared" si="13"/>
        <v>31344.600000000002</v>
      </c>
      <c r="H32" s="75"/>
      <c r="I32" s="14">
        <f t="shared" si="14"/>
        <v>31344.600000000002</v>
      </c>
      <c r="J32" s="83">
        <v>395.2</v>
      </c>
      <c r="K32" s="77">
        <v>27769.7</v>
      </c>
      <c r="L32" s="77"/>
      <c r="M32" s="75">
        <f t="shared" si="15"/>
        <v>28164.9</v>
      </c>
      <c r="N32" s="75"/>
      <c r="O32" s="14">
        <f t="shared" si="16"/>
        <v>28164.9</v>
      </c>
      <c r="P32" s="83">
        <v>195</v>
      </c>
      <c r="Q32" s="77">
        <v>15379</v>
      </c>
      <c r="R32" s="77">
        <v>30</v>
      </c>
      <c r="S32" s="75">
        <f t="shared" si="17"/>
        <v>15604</v>
      </c>
      <c r="T32" s="75"/>
      <c r="U32" s="14">
        <f t="shared" si="18"/>
        <v>15604</v>
      </c>
      <c r="V32" s="83">
        <v>453.1</v>
      </c>
      <c r="W32" s="77">
        <v>28824.6</v>
      </c>
      <c r="X32" s="77"/>
      <c r="Y32" s="75">
        <f t="shared" si="19"/>
        <v>29277.699999999997</v>
      </c>
      <c r="Z32" s="75"/>
      <c r="AA32" s="14">
        <f t="shared" si="20"/>
        <v>29277.699999999997</v>
      </c>
      <c r="AB32" s="147">
        <f t="shared" si="12"/>
        <v>1.0395101704603955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499">
        <v>224.2</v>
      </c>
      <c r="E33" s="77">
        <v>29830</v>
      </c>
      <c r="F33" s="77">
        <v>64.099999999999994</v>
      </c>
      <c r="G33" s="75">
        <f t="shared" si="13"/>
        <v>30118.3</v>
      </c>
      <c r="H33" s="75"/>
      <c r="I33" s="14">
        <f t="shared" si="14"/>
        <v>30118.3</v>
      </c>
      <c r="J33" s="83">
        <v>215.2</v>
      </c>
      <c r="K33" s="77">
        <v>27639.7</v>
      </c>
      <c r="L33" s="77"/>
      <c r="M33" s="75">
        <f t="shared" si="15"/>
        <v>27854.9</v>
      </c>
      <c r="N33" s="75"/>
      <c r="O33" s="14">
        <f t="shared" si="16"/>
        <v>27854.9</v>
      </c>
      <c r="P33" s="83">
        <v>127</v>
      </c>
      <c r="Q33" s="77">
        <v>14635.4</v>
      </c>
      <c r="R33" s="77">
        <v>30</v>
      </c>
      <c r="S33" s="75">
        <f t="shared" si="17"/>
        <v>14792.4</v>
      </c>
      <c r="T33" s="75"/>
      <c r="U33" s="14">
        <f t="shared" si="18"/>
        <v>14792.4</v>
      </c>
      <c r="V33" s="83">
        <v>223.1</v>
      </c>
      <c r="W33" s="77">
        <v>28494.6</v>
      </c>
      <c r="X33" s="77"/>
      <c r="Y33" s="75">
        <f t="shared" si="19"/>
        <v>28717.699999999997</v>
      </c>
      <c r="Z33" s="75"/>
      <c r="AA33" s="14">
        <f t="shared" si="20"/>
        <v>28717.699999999997</v>
      </c>
      <c r="AB33" s="147">
        <f t="shared" si="12"/>
        <v>1.0309748015609461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499">
        <v>184.7</v>
      </c>
      <c r="E34" s="77">
        <v>1032</v>
      </c>
      <c r="F34" s="77">
        <v>9.6</v>
      </c>
      <c r="G34" s="75">
        <f t="shared" si="13"/>
        <v>1226.3</v>
      </c>
      <c r="H34" s="75"/>
      <c r="I34" s="14">
        <f t="shared" si="14"/>
        <v>1226.3</v>
      </c>
      <c r="J34" s="83">
        <v>180</v>
      </c>
      <c r="K34" s="77">
        <v>130</v>
      </c>
      <c r="L34" s="77"/>
      <c r="M34" s="75">
        <f>SUM(J34:L34)</f>
        <v>310</v>
      </c>
      <c r="N34" s="75"/>
      <c r="O34" s="14">
        <f t="shared" si="16"/>
        <v>310</v>
      </c>
      <c r="P34" s="83">
        <v>68</v>
      </c>
      <c r="Q34" s="77">
        <v>743.6</v>
      </c>
      <c r="R34" s="77"/>
      <c r="S34" s="75">
        <f t="shared" si="17"/>
        <v>811.6</v>
      </c>
      <c r="T34" s="75"/>
      <c r="U34" s="14">
        <f t="shared" si="18"/>
        <v>811.6</v>
      </c>
      <c r="V34" s="83">
        <v>230</v>
      </c>
      <c r="W34" s="77">
        <v>330</v>
      </c>
      <c r="X34" s="77"/>
      <c r="Y34" s="75">
        <f t="shared" si="19"/>
        <v>560</v>
      </c>
      <c r="Z34" s="75"/>
      <c r="AA34" s="14">
        <f t="shared" si="20"/>
        <v>560</v>
      </c>
      <c r="AB34" s="147">
        <f t="shared" si="12"/>
        <v>1.8064516129032258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499">
        <v>75.8</v>
      </c>
      <c r="E35" s="77">
        <v>10136.200000000001</v>
      </c>
      <c r="F35" s="77"/>
      <c r="G35" s="75">
        <f t="shared" si="13"/>
        <v>10212</v>
      </c>
      <c r="H35" s="75"/>
      <c r="I35" s="14">
        <f t="shared" si="14"/>
        <v>10212</v>
      </c>
      <c r="J35" s="83">
        <v>77.099999999999994</v>
      </c>
      <c r="K35" s="77">
        <v>9939</v>
      </c>
      <c r="L35" s="77"/>
      <c r="M35" s="75">
        <f t="shared" si="15"/>
        <v>10016.1</v>
      </c>
      <c r="N35" s="75"/>
      <c r="O35" s="14">
        <f t="shared" si="16"/>
        <v>10016.1</v>
      </c>
      <c r="P35" s="83">
        <v>43</v>
      </c>
      <c r="Q35" s="77">
        <v>4924.1000000000004</v>
      </c>
      <c r="R35" s="77">
        <v>10.1</v>
      </c>
      <c r="S35" s="75">
        <f t="shared" si="17"/>
        <v>4977.2000000000007</v>
      </c>
      <c r="T35" s="75"/>
      <c r="U35" s="14">
        <f t="shared" si="18"/>
        <v>4977.2000000000007</v>
      </c>
      <c r="V35" s="83">
        <v>79.900000000000006</v>
      </c>
      <c r="W35" s="77">
        <v>10245.1</v>
      </c>
      <c r="X35" s="77"/>
      <c r="Y35" s="75">
        <f t="shared" si="19"/>
        <v>10325</v>
      </c>
      <c r="Z35" s="75"/>
      <c r="AA35" s="14">
        <f t="shared" si="20"/>
        <v>10325</v>
      </c>
      <c r="AB35" s="147">
        <f t="shared" si="12"/>
        <v>1.0308403470412635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 t="s">
        <v>87</v>
      </c>
      <c r="E36" s="77"/>
      <c r="F36" s="77"/>
      <c r="G36" s="75">
        <f t="shared" si="13"/>
        <v>0</v>
      </c>
      <c r="H36" s="75"/>
      <c r="I36" s="14">
        <f t="shared" si="14"/>
        <v>0</v>
      </c>
      <c r="J36" s="82"/>
      <c r="K36" s="77"/>
      <c r="L36" s="77"/>
      <c r="M36" s="75">
        <f t="shared" si="15"/>
        <v>0</v>
      </c>
      <c r="N36" s="75"/>
      <c r="O36" s="14">
        <f t="shared" si="16"/>
        <v>0</v>
      </c>
      <c r="P36" s="82"/>
      <c r="Q36" s="77"/>
      <c r="R36" s="77"/>
      <c r="S36" s="75">
        <f t="shared" si="17"/>
        <v>0</v>
      </c>
      <c r="T36" s="75"/>
      <c r="U36" s="14">
        <f t="shared" si="18"/>
        <v>0</v>
      </c>
      <c r="V36" s="82"/>
      <c r="W36" s="77"/>
      <c r="X36" s="77"/>
      <c r="Y36" s="75">
        <f t="shared" si="19"/>
        <v>0</v>
      </c>
      <c r="Z36" s="75"/>
      <c r="AA36" s="14">
        <f t="shared" si="20"/>
        <v>0</v>
      </c>
      <c r="AB36" s="147" t="e">
        <f t="shared" si="12"/>
        <v>#DIV/0!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732.6</v>
      </c>
      <c r="E37" s="77"/>
      <c r="F37" s="77">
        <v>550.29999999999995</v>
      </c>
      <c r="G37" s="75">
        <f t="shared" si="13"/>
        <v>1282.9000000000001</v>
      </c>
      <c r="H37" s="75"/>
      <c r="I37" s="14">
        <f t="shared" si="14"/>
        <v>1282.9000000000001</v>
      </c>
      <c r="J37" s="82">
        <v>702.1</v>
      </c>
      <c r="K37" s="77"/>
      <c r="L37" s="77">
        <v>550.29999999999995</v>
      </c>
      <c r="M37" s="75">
        <f t="shared" si="15"/>
        <v>1252.4000000000001</v>
      </c>
      <c r="N37" s="75"/>
      <c r="O37" s="14">
        <f t="shared" si="16"/>
        <v>1252.4000000000001</v>
      </c>
      <c r="P37" s="82">
        <v>405</v>
      </c>
      <c r="Q37" s="77"/>
      <c r="R37" s="77">
        <v>275.2</v>
      </c>
      <c r="S37" s="75">
        <f t="shared" si="17"/>
        <v>680.2</v>
      </c>
      <c r="T37" s="75"/>
      <c r="U37" s="14">
        <f t="shared" si="18"/>
        <v>680.2</v>
      </c>
      <c r="V37" s="82">
        <v>706.7</v>
      </c>
      <c r="W37" s="77"/>
      <c r="X37" s="77">
        <v>550.29999999999995</v>
      </c>
      <c r="Y37" s="75">
        <f t="shared" si="19"/>
        <v>1257</v>
      </c>
      <c r="Z37" s="75"/>
      <c r="AA37" s="14">
        <f t="shared" si="20"/>
        <v>1257</v>
      </c>
      <c r="AB37" s="147">
        <f t="shared" si="12"/>
        <v>1.0036729479399553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78">
        <v>524.5</v>
      </c>
      <c r="E38" s="78">
        <v>2620.1999999999998</v>
      </c>
      <c r="F38" s="78">
        <v>88.6</v>
      </c>
      <c r="G38" s="75">
        <f t="shared" si="13"/>
        <v>3233.2999999999997</v>
      </c>
      <c r="H38" s="79"/>
      <c r="I38" s="23">
        <f t="shared" si="14"/>
        <v>3233.2999999999997</v>
      </c>
      <c r="J38" s="84">
        <v>263.8</v>
      </c>
      <c r="K38" s="78">
        <v>485</v>
      </c>
      <c r="L38" s="78"/>
      <c r="M38" s="79">
        <f t="shared" si="15"/>
        <v>748.8</v>
      </c>
      <c r="N38" s="79"/>
      <c r="O38" s="23">
        <f t="shared" si="16"/>
        <v>748.8</v>
      </c>
      <c r="P38" s="84">
        <v>219.6</v>
      </c>
      <c r="Q38" s="78">
        <v>1680.8</v>
      </c>
      <c r="R38" s="78">
        <v>29.8</v>
      </c>
      <c r="S38" s="79">
        <f t="shared" si="17"/>
        <v>1930.1999999999998</v>
      </c>
      <c r="T38" s="79"/>
      <c r="U38" s="23">
        <f t="shared" si="18"/>
        <v>1930.1999999999998</v>
      </c>
      <c r="V38" s="84">
        <v>363.8</v>
      </c>
      <c r="W38" s="78">
        <v>485</v>
      </c>
      <c r="X38" s="78">
        <v>30</v>
      </c>
      <c r="Y38" s="79">
        <f t="shared" si="19"/>
        <v>878.8</v>
      </c>
      <c r="Z38" s="79"/>
      <c r="AA38" s="23">
        <f t="shared" si="20"/>
        <v>878.8</v>
      </c>
      <c r="AB38" s="150">
        <f t="shared" si="12"/>
        <v>1.1736111111111112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5797</v>
      </c>
      <c r="E39" s="42">
        <f>SUM(E35:E38)+SUM(E28:E32)</f>
        <v>44825.5</v>
      </c>
      <c r="F39" s="42">
        <f>SUM(F35:F38)+SUM(F28:F32)</f>
        <v>2184.9</v>
      </c>
      <c r="G39" s="146">
        <f>SUM(D39:F39)</f>
        <v>52807.4</v>
      </c>
      <c r="H39" s="43">
        <f>SUM(H28:H32)+SUM(H35:H38)</f>
        <v>37.799999999999997</v>
      </c>
      <c r="I39" s="44">
        <f>SUM(I35:I38)+SUM(I28:I32)</f>
        <v>52845.2</v>
      </c>
      <c r="J39" s="42">
        <f>SUM(J35:J38)+SUM(J28:J32)</f>
        <v>6325.5</v>
      </c>
      <c r="K39" s="42">
        <f>SUM(K35:K38)+SUM(K28:K32)</f>
        <v>38476</v>
      </c>
      <c r="L39" s="42">
        <f>SUM(L35:L38)+SUM(L28:L32)</f>
        <v>1800.3</v>
      </c>
      <c r="M39" s="146">
        <f>SUM(J39:L39)</f>
        <v>46601.8</v>
      </c>
      <c r="N39" s="43">
        <f>SUM(N28:N32)+SUM(N35:N38)</f>
        <v>120</v>
      </c>
      <c r="O39" s="44">
        <f>SUM(O35:O38)+SUM(O28:O32)</f>
        <v>46721.8</v>
      </c>
      <c r="P39" s="42">
        <f>SUM(P35:P38)+SUM(P28:P32)</f>
        <v>3063.9999999999995</v>
      </c>
      <c r="Q39" s="42">
        <f>SUM(Q35:Q38)+SUM(Q28:Q32)</f>
        <v>23836.5</v>
      </c>
      <c r="R39" s="42">
        <f>SUM(R35:R38)+SUM(R28:R32)</f>
        <v>1263</v>
      </c>
      <c r="S39" s="146">
        <f>SUM(P39:R39)</f>
        <v>28163.5</v>
      </c>
      <c r="T39" s="43">
        <f>SUM(T28:T32)+SUM(T35:T38)</f>
        <v>0</v>
      </c>
      <c r="U39" s="44">
        <f>SUM(U35:U38)+SUM(U28:U32)</f>
        <v>28163.5</v>
      </c>
      <c r="V39" s="42">
        <f>SUM(V35:V38)+SUM(V28:V32)</f>
        <v>7098.8000000000011</v>
      </c>
      <c r="W39" s="42">
        <f>SUM(W35:W38)+SUM(W28:W32)</f>
        <v>39837</v>
      </c>
      <c r="X39" s="42">
        <f>SUM(X35:X38)+SUM(X28:X32)</f>
        <v>2100.3000000000002</v>
      </c>
      <c r="Y39" s="146">
        <f>SUM(V39:X39)</f>
        <v>49036.100000000006</v>
      </c>
      <c r="Z39" s="43">
        <f>SUM(Z28:Z32)+SUM(Z35:Z38)</f>
        <v>120</v>
      </c>
      <c r="AA39" s="44">
        <f>SUM(AA35:AA38)+SUM(AA28:AA32)</f>
        <v>49156.099999999991</v>
      </c>
      <c r="AB39" s="152">
        <f t="shared" si="12"/>
        <v>1.0521020166175101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AA40" si="21">D24-D39</f>
        <v>11.800000000000182</v>
      </c>
      <c r="E40" s="109">
        <f t="shared" si="21"/>
        <v>0</v>
      </c>
      <c r="F40" s="109">
        <f t="shared" si="21"/>
        <v>0</v>
      </c>
      <c r="G40" s="118">
        <f t="shared" si="21"/>
        <v>11.80000000000291</v>
      </c>
      <c r="H40" s="118">
        <f t="shared" si="21"/>
        <v>139.60000000000002</v>
      </c>
      <c r="I40" s="119">
        <f t="shared" si="21"/>
        <v>151.40000000000873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118">
        <f t="shared" si="21"/>
        <v>0</v>
      </c>
      <c r="N40" s="118">
        <f t="shared" si="21"/>
        <v>0</v>
      </c>
      <c r="O40" s="119">
        <f t="shared" si="21"/>
        <v>0</v>
      </c>
      <c r="P40" s="109">
        <f t="shared" si="21"/>
        <v>0</v>
      </c>
      <c r="Q40" s="109">
        <f t="shared" si="21"/>
        <v>0</v>
      </c>
      <c r="R40" s="109">
        <f t="shared" si="21"/>
        <v>26</v>
      </c>
      <c r="S40" s="118">
        <f t="shared" si="21"/>
        <v>26</v>
      </c>
      <c r="T40" s="118">
        <f t="shared" si="21"/>
        <v>89</v>
      </c>
      <c r="U40" s="119">
        <f t="shared" si="21"/>
        <v>115</v>
      </c>
      <c r="V40" s="109">
        <f t="shared" si="21"/>
        <v>0</v>
      </c>
      <c r="W40" s="109">
        <f t="shared" si="21"/>
        <v>0</v>
      </c>
      <c r="X40" s="109">
        <f t="shared" si="21"/>
        <v>0</v>
      </c>
      <c r="Y40" s="118">
        <f t="shared" si="21"/>
        <v>0</v>
      </c>
      <c r="Z40" s="118">
        <f t="shared" si="21"/>
        <v>0</v>
      </c>
      <c r="AA40" s="119">
        <f t="shared" si="21"/>
        <v>0</v>
      </c>
      <c r="AB40" s="153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-5205.0999999999913</v>
      </c>
      <c r="J41" s="112"/>
      <c r="K41" s="113"/>
      <c r="L41" s="113"/>
      <c r="M41" s="114"/>
      <c r="N41" s="117"/>
      <c r="O41" s="116">
        <f>O40-J16</f>
        <v>-5941.3</v>
      </c>
      <c r="P41" s="112"/>
      <c r="Q41" s="113"/>
      <c r="R41" s="113"/>
      <c r="S41" s="114"/>
      <c r="T41" s="117"/>
      <c r="U41" s="116">
        <f>U40-P16</f>
        <v>-2720.2</v>
      </c>
      <c r="V41" s="112"/>
      <c r="W41" s="113"/>
      <c r="X41" s="113"/>
      <c r="Y41" s="114"/>
      <c r="Z41" s="117"/>
      <c r="AA41" s="116">
        <f>AA40-V16</f>
        <v>-5941.3</v>
      </c>
      <c r="AB41" s="147">
        <f t="shared" si="12"/>
        <v>1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4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5"/>
      <c r="D44" s="94">
        <v>585</v>
      </c>
      <c r="E44" s="104">
        <v>585</v>
      </c>
      <c r="F44" s="105">
        <v>0</v>
      </c>
      <c r="G44" s="49"/>
      <c r="H44" s="49"/>
      <c r="I44" s="50"/>
      <c r="J44" s="94">
        <v>585</v>
      </c>
      <c r="K44" s="104">
        <v>585</v>
      </c>
      <c r="L44" s="105">
        <v>0</v>
      </c>
      <c r="M44" s="93"/>
      <c r="N44" s="93"/>
      <c r="O44" s="93"/>
      <c r="P44" s="94">
        <v>292.5</v>
      </c>
      <c r="Q44" s="104">
        <v>292.5</v>
      </c>
      <c r="R44" s="105">
        <v>0</v>
      </c>
      <c r="S44" s="4"/>
      <c r="T44" s="4"/>
      <c r="U44" s="4"/>
      <c r="V44" s="94">
        <v>585</v>
      </c>
      <c r="W44" s="104">
        <v>585</v>
      </c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4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6"/>
      <c r="D47" s="94">
        <v>0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250</v>
      </c>
      <c r="R49" s="99" t="s">
        <v>251</v>
      </c>
      <c r="S49" s="99" t="s">
        <v>98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117</v>
      </c>
      <c r="D50" s="85">
        <f>SUM(D51:D54)</f>
        <v>4886</v>
      </c>
      <c r="E50" s="85">
        <f t="shared" ref="E50:F50" si="22">SUM(E51:E54)</f>
        <v>4034.7</v>
      </c>
      <c r="F50" s="85">
        <f t="shared" si="22"/>
        <v>4296.8999999999996</v>
      </c>
      <c r="G50" s="52">
        <f>D50+E50-F50</f>
        <v>4623.8000000000011</v>
      </c>
      <c r="H50" s="49"/>
      <c r="I50" s="4"/>
      <c r="J50" s="52">
        <v>1465.0999999999995</v>
      </c>
      <c r="K50" s="85">
        <f>K51+K52+K53+K54</f>
        <v>851.5</v>
      </c>
      <c r="L50" s="85">
        <f>L51+L52+L53+L54</f>
        <v>837</v>
      </c>
      <c r="M50" s="85">
        <f>M51+M52+M53+M54</f>
        <v>1479.6</v>
      </c>
      <c r="N50" s="4"/>
      <c r="O50" s="4"/>
      <c r="P50" s="85">
        <v>4623.8000000000011</v>
      </c>
      <c r="Q50" s="85">
        <f t="shared" ref="Q50:R50" si="23">Q51+Q52+Q53+Q54</f>
        <v>944.80000000000007</v>
      </c>
      <c r="R50" s="85">
        <f t="shared" si="23"/>
        <v>727.9</v>
      </c>
      <c r="S50" s="52">
        <f>P50+Q50-R50</f>
        <v>4840.7000000000016</v>
      </c>
      <c r="T50" s="4"/>
      <c r="U50" s="4"/>
      <c r="V50" s="85">
        <f>SUM(V51:V54)</f>
        <v>6607.2999999999993</v>
      </c>
      <c r="W50" s="85">
        <f>SUM(W51:W54)</f>
        <v>6451.7</v>
      </c>
      <c r="X50" s="85">
        <f>SUM(X51:X54)</f>
        <v>6230</v>
      </c>
      <c r="Y50" s="52">
        <f>V50+W50-X50</f>
        <v>6829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70</v>
      </c>
      <c r="D51" s="85">
        <v>3326.6</v>
      </c>
      <c r="E51" s="85">
        <v>2692.9</v>
      </c>
      <c r="F51" s="85">
        <v>2572.1999999999998</v>
      </c>
      <c r="G51" s="52">
        <f t="shared" ref="G51:G54" si="24">D51+E51-F51</f>
        <v>3447.3</v>
      </c>
      <c r="H51" s="49"/>
      <c r="I51" s="4"/>
      <c r="J51" s="52">
        <v>339.19999999999982</v>
      </c>
      <c r="K51" s="85">
        <v>70</v>
      </c>
      <c r="L51" s="85">
        <v>0</v>
      </c>
      <c r="M51" s="52">
        <f t="shared" ref="M51:M54" si="25">J51+K51-L51</f>
        <v>409.19999999999982</v>
      </c>
      <c r="N51" s="4"/>
      <c r="O51" s="4"/>
      <c r="P51" s="85">
        <v>3447.3</v>
      </c>
      <c r="Q51" s="85">
        <v>209.6</v>
      </c>
      <c r="R51" s="85">
        <v>88.5</v>
      </c>
      <c r="S51" s="52">
        <f t="shared" ref="S51:S54" si="26">P51+Q51-R51</f>
        <v>3568.4</v>
      </c>
      <c r="T51" s="4"/>
      <c r="U51" s="4"/>
      <c r="V51" s="85">
        <v>5500</v>
      </c>
      <c r="W51" s="85">
        <v>5100</v>
      </c>
      <c r="X51" s="85">
        <v>4900</v>
      </c>
      <c r="Y51" s="52">
        <f t="shared" ref="Y51:Y54" si="27">V51+W51-X51</f>
        <v>5700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71</v>
      </c>
      <c r="D52" s="85">
        <v>639</v>
      </c>
      <c r="E52" s="85">
        <v>732.6</v>
      </c>
      <c r="F52" s="85">
        <v>797.4</v>
      </c>
      <c r="G52" s="52">
        <f t="shared" si="24"/>
        <v>574.19999999999993</v>
      </c>
      <c r="H52" s="49"/>
      <c r="I52" s="4"/>
      <c r="J52" s="52">
        <v>450</v>
      </c>
      <c r="K52" s="85">
        <v>130.9</v>
      </c>
      <c r="L52" s="85">
        <v>160</v>
      </c>
      <c r="M52" s="52">
        <f t="shared" si="25"/>
        <v>420.9</v>
      </c>
      <c r="N52" s="4"/>
      <c r="O52" s="4"/>
      <c r="P52" s="85">
        <v>574.19999999999993</v>
      </c>
      <c r="Q52" s="85">
        <v>405</v>
      </c>
      <c r="R52" s="85">
        <v>292.5</v>
      </c>
      <c r="S52" s="52">
        <f t="shared" si="26"/>
        <v>686.69999999999993</v>
      </c>
      <c r="T52" s="4"/>
      <c r="U52" s="4"/>
      <c r="V52" s="85">
        <v>667.9</v>
      </c>
      <c r="W52" s="85">
        <v>706.7</v>
      </c>
      <c r="X52" s="85">
        <v>700</v>
      </c>
      <c r="Y52" s="52">
        <f t="shared" si="27"/>
        <v>674.59999999999991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51" t="s">
        <v>88</v>
      </c>
      <c r="D53" s="85">
        <v>318.10000000000002</v>
      </c>
      <c r="E53" s="85">
        <v>0</v>
      </c>
      <c r="F53" s="85">
        <v>64.099999999999994</v>
      </c>
      <c r="G53" s="52">
        <f t="shared" si="24"/>
        <v>254.00000000000003</v>
      </c>
      <c r="H53" s="49"/>
      <c r="I53" s="4"/>
      <c r="J53" s="52">
        <v>293.10000000000002</v>
      </c>
      <c r="K53" s="85">
        <v>30</v>
      </c>
      <c r="L53" s="85">
        <v>27</v>
      </c>
      <c r="M53" s="52">
        <f t="shared" si="25"/>
        <v>296.10000000000002</v>
      </c>
      <c r="N53" s="4"/>
      <c r="O53" s="4"/>
      <c r="P53" s="85">
        <v>254.00000000000003</v>
      </c>
      <c r="Q53" s="85">
        <v>30.2</v>
      </c>
      <c r="R53" s="85">
        <v>0</v>
      </c>
      <c r="S53" s="52">
        <f t="shared" si="26"/>
        <v>284.20000000000005</v>
      </c>
      <c r="T53" s="4"/>
      <c r="U53" s="4"/>
      <c r="V53" s="85">
        <v>204.2</v>
      </c>
      <c r="W53" s="85">
        <v>35</v>
      </c>
      <c r="X53" s="85">
        <v>50</v>
      </c>
      <c r="Y53" s="52">
        <f t="shared" si="27"/>
        <v>189.2</v>
      </c>
      <c r="Z53" s="4"/>
      <c r="AA53" s="4"/>
      <c r="AB53" s="4"/>
      <c r="AC53" s="4"/>
      <c r="AD53" s="4"/>
    </row>
    <row r="54" spans="1:30" x14ac:dyDescent="0.25">
      <c r="A54" s="5"/>
      <c r="B54" s="47"/>
      <c r="C54" s="133" t="s">
        <v>89</v>
      </c>
      <c r="D54" s="85">
        <v>602.29999999999995</v>
      </c>
      <c r="E54" s="85">
        <v>609.20000000000005</v>
      </c>
      <c r="F54" s="85">
        <v>863.2</v>
      </c>
      <c r="G54" s="52">
        <f t="shared" si="24"/>
        <v>348.29999999999995</v>
      </c>
      <c r="H54" s="49"/>
      <c r="I54" s="4"/>
      <c r="J54" s="52">
        <v>382.79999999999995</v>
      </c>
      <c r="K54" s="85">
        <v>620.6</v>
      </c>
      <c r="L54" s="85">
        <v>650</v>
      </c>
      <c r="M54" s="52">
        <f t="shared" si="25"/>
        <v>353.4</v>
      </c>
      <c r="N54" s="4"/>
      <c r="O54" s="4"/>
      <c r="P54" s="85">
        <v>348.29999999999995</v>
      </c>
      <c r="Q54" s="85">
        <v>300</v>
      </c>
      <c r="R54" s="85">
        <v>346.9</v>
      </c>
      <c r="S54" s="52">
        <f t="shared" si="26"/>
        <v>301.39999999999998</v>
      </c>
      <c r="T54" s="4"/>
      <c r="U54" s="4"/>
      <c r="V54" s="85">
        <v>235.2</v>
      </c>
      <c r="W54" s="85">
        <v>610</v>
      </c>
      <c r="X54" s="85">
        <v>580</v>
      </c>
      <c r="Y54" s="52">
        <f t="shared" si="27"/>
        <v>265.20000000000005</v>
      </c>
      <c r="Z54" s="4"/>
      <c r="AA54" s="4"/>
      <c r="AB54" s="4"/>
      <c r="AC54" s="4"/>
      <c r="AD54" s="4"/>
    </row>
    <row r="55" spans="1:30" ht="10.5" customHeight="1" x14ac:dyDescent="0.25">
      <c r="A55" s="5"/>
      <c r="B55" s="47"/>
      <c r="C55" s="48"/>
      <c r="D55" s="49"/>
      <c r="E55" s="49"/>
      <c r="F55" s="49"/>
      <c r="G55" s="49"/>
      <c r="H55" s="4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98" t="s">
        <v>74</v>
      </c>
      <c r="D56" s="99" t="s">
        <v>75</v>
      </c>
      <c r="E56" s="99" t="s">
        <v>96</v>
      </c>
      <c r="F56" s="49"/>
      <c r="G56" s="49"/>
      <c r="H56" s="49"/>
      <c r="I56" s="50"/>
      <c r="J56" s="99" t="s">
        <v>97</v>
      </c>
      <c r="K56" s="49"/>
      <c r="L56" s="49"/>
      <c r="M56" s="49"/>
      <c r="N56" s="49"/>
      <c r="O56" s="50"/>
      <c r="P56" s="99" t="s">
        <v>98</v>
      </c>
      <c r="Q56" s="50"/>
      <c r="R56" s="50"/>
      <c r="S56" s="50"/>
      <c r="T56" s="50"/>
      <c r="U56" s="50"/>
      <c r="V56" s="99" t="s">
        <v>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51"/>
      <c r="D57" s="86">
        <v>61.8</v>
      </c>
      <c r="E57" s="86">
        <v>62.3</v>
      </c>
      <c r="F57" s="49"/>
      <c r="G57" s="49"/>
      <c r="H57" s="49"/>
      <c r="I57" s="50"/>
      <c r="J57" s="86">
        <v>63.3</v>
      </c>
      <c r="K57" s="49"/>
      <c r="L57" s="49"/>
      <c r="M57" s="49"/>
      <c r="N57" s="49"/>
      <c r="O57" s="50"/>
      <c r="P57" s="86">
        <v>64.7</v>
      </c>
      <c r="Q57" s="50"/>
      <c r="R57" s="50"/>
      <c r="S57" s="50"/>
      <c r="T57" s="50"/>
      <c r="U57" s="50"/>
      <c r="V57" s="86">
        <v>64.7</v>
      </c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47"/>
      <c r="C58" s="48"/>
      <c r="D58" s="49"/>
      <c r="E58" s="49"/>
      <c r="F58" s="49"/>
      <c r="G58" s="49"/>
      <c r="H58" s="49"/>
      <c r="I58" s="50"/>
      <c r="J58" s="49"/>
      <c r="K58" s="49"/>
      <c r="L58" s="49"/>
      <c r="M58" s="49"/>
      <c r="N58" s="49"/>
      <c r="O58" s="50"/>
      <c r="P58" s="50"/>
      <c r="Q58" s="50"/>
      <c r="R58" s="50"/>
      <c r="S58" s="50"/>
      <c r="T58" s="50"/>
      <c r="U58" s="50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25">
      <c r="A59" s="5"/>
      <c r="B59" s="101" t="s">
        <v>92</v>
      </c>
      <c r="C59" s="100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154"/>
      <c r="W59" s="154"/>
      <c r="X59" s="154"/>
      <c r="Y59" s="154"/>
      <c r="Z59" s="154"/>
      <c r="AA59" s="154"/>
      <c r="AB59" s="155"/>
      <c r="AC59" s="4"/>
      <c r="AD59" s="4"/>
    </row>
    <row r="60" spans="1:30" x14ac:dyDescent="0.25">
      <c r="A60" s="5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7" t="s">
        <v>252</v>
      </c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7" t="s">
        <v>253</v>
      </c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217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83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83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83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83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83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83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83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83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83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83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83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83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83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83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83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83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83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183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24"/>
      <c r="C83" s="91"/>
      <c r="D83" s="91"/>
      <c r="E83" s="91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43"/>
      <c r="C84" s="140"/>
      <c r="D84" s="2"/>
      <c r="E84" s="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24"/>
      <c r="C86" s="125"/>
      <c r="D86" s="2"/>
      <c r="E86" s="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22"/>
      <c r="W86" s="122"/>
      <c r="X86" s="122"/>
      <c r="Y86" s="122"/>
      <c r="Z86" s="122"/>
      <c r="AA86" s="122"/>
      <c r="AB86" s="123"/>
      <c r="AC86" s="4"/>
      <c r="AD86" s="4"/>
    </row>
    <row r="87" spans="1:30" x14ac:dyDescent="0.25">
      <c r="A87" s="5"/>
      <c r="B87" s="134"/>
      <c r="C87" s="135"/>
      <c r="D87" s="136"/>
      <c r="E87" s="136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56"/>
      <c r="W87" s="156"/>
      <c r="X87" s="156"/>
      <c r="Y87" s="156"/>
      <c r="Z87" s="156"/>
      <c r="AA87" s="156"/>
      <c r="AB87" s="157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87"/>
      <c r="B89" s="138"/>
      <c r="C89" s="137"/>
      <c r="D89" s="138"/>
      <c r="E89" s="138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25">
      <c r="A91" s="5"/>
      <c r="B91" s="53" t="s">
        <v>80</v>
      </c>
      <c r="C91" s="120">
        <v>45152</v>
      </c>
      <c r="D91" s="53" t="s">
        <v>76</v>
      </c>
      <c r="E91" s="218" t="s">
        <v>254</v>
      </c>
      <c r="F91" s="218"/>
      <c r="G91" s="218"/>
      <c r="H91" s="53"/>
      <c r="I91" s="53" t="s">
        <v>77</v>
      </c>
      <c r="J91" s="222" t="s">
        <v>255</v>
      </c>
      <c r="K91" s="222"/>
      <c r="L91" s="222"/>
      <c r="M91" s="222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ht="7.5" customHeight="1" x14ac:dyDescent="0.25">
      <c r="A92" s="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 t="s">
        <v>79</v>
      </c>
      <c r="E93" s="55"/>
      <c r="F93" s="55"/>
      <c r="G93" s="55"/>
      <c r="H93" s="53"/>
      <c r="I93" s="53" t="s">
        <v>79</v>
      </c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5"/>
      <c r="F94" s="55"/>
      <c r="G94" s="55"/>
      <c r="H94" s="53"/>
      <c r="I94" s="53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25">
      <c r="A96" s="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4"/>
      <c r="W96" s="4"/>
      <c r="X96" s="4"/>
      <c r="Y96" s="4"/>
      <c r="Z96" s="4"/>
      <c r="AA96" s="4"/>
      <c r="AB96" s="4"/>
      <c r="AC96" s="4"/>
      <c r="AD96" s="4"/>
    </row>
    <row r="97" spans="29:30" hidden="1" x14ac:dyDescent="0.25">
      <c r="AC97" s="3"/>
      <c r="AD97" s="3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15" priority="3" operator="equal">
      <formula>0</formula>
    </cfRule>
    <cfRule type="containsErrors" dxfId="14" priority="4">
      <formula>ISERROR(AB15)</formula>
    </cfRule>
  </conditionalFormatting>
  <conditionalFormatting sqref="AB28:AB41">
    <cfRule type="cellIs" dxfId="13" priority="1" operator="equal">
      <formula>0</formula>
    </cfRule>
    <cfRule type="containsErrors" dxfId="12" priority="2">
      <formula>ISERROR(AB28)</formula>
    </cfRule>
  </conditionalFormatting>
  <pageMargins left="0" right="0" top="0.78740157480314965" bottom="0.78740157480314965" header="0.31496062992125984" footer="0.31496062992125984"/>
  <pageSetup paperSize="8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18</vt:i4>
      </vt:variant>
    </vt:vector>
  </HeadingPairs>
  <TitlesOfParts>
    <vt:vector size="36" baseType="lpstr">
      <vt:lpstr>CHK</vt:lpstr>
      <vt:lpstr>MěLe</vt:lpstr>
      <vt:lpstr>SOS</vt:lpstr>
      <vt:lpstr>TSmCh</vt:lpstr>
      <vt:lpstr>ZOO</vt:lpstr>
      <vt:lpstr>ZŠ Zahr</vt:lpstr>
      <vt:lpstr>ZŠ Na Přík</vt:lpstr>
      <vt:lpstr>ZŠ Kadaň</vt:lpstr>
      <vt:lpstr>ZŠ Píseč</vt:lpstr>
      <vt:lpstr>ZŠ Hornic</vt:lpstr>
      <vt:lpstr>ZŠ Školní</vt:lpstr>
      <vt:lpstr>ZŠ Heyr.</vt:lpstr>
      <vt:lpstr>ZŠ Břez</vt:lpstr>
      <vt:lpstr>ZŠaMŠ</vt:lpstr>
      <vt:lpstr>ZUŠ</vt:lpstr>
      <vt:lpstr>ZŠSaMŠ</vt:lpstr>
      <vt:lpstr>MŠ</vt:lpstr>
      <vt:lpstr>SVČ</vt:lpstr>
      <vt:lpstr>CHK!Oblast_tisku</vt:lpstr>
      <vt:lpstr>MěLe!Oblast_tisku</vt:lpstr>
      <vt:lpstr>MŠ!Oblast_tisku</vt:lpstr>
      <vt:lpstr>SOS!Oblast_tisku</vt:lpstr>
      <vt:lpstr>SVČ!Oblast_tisku</vt:lpstr>
      <vt:lpstr>TSmCh!Oblast_tisku</vt:lpstr>
      <vt:lpstr>ZOO!Oblast_tisku</vt:lpstr>
      <vt:lpstr>'ZŠ Břez'!Oblast_tisku</vt:lpstr>
      <vt:lpstr>'ZŠ Heyr.'!Oblast_tisku</vt:lpstr>
      <vt:lpstr>'ZŠ Hornic'!Oblast_tisku</vt:lpstr>
      <vt:lpstr>'ZŠ Kadaň'!Oblast_tisku</vt:lpstr>
      <vt:lpstr>'ZŠ Na Přík'!Oblast_tisku</vt:lpstr>
      <vt:lpstr>'ZŠ Píseč'!Oblast_tisku</vt:lpstr>
      <vt:lpstr>'ZŠ Školní'!Oblast_tisku</vt:lpstr>
      <vt:lpstr>'ZŠ Zahr'!Oblast_tisku</vt:lpstr>
      <vt:lpstr>ZŠaMŠ!Oblast_tisku</vt:lpstr>
      <vt:lpstr>ZŠSaMŠ!Oblast_tisku</vt:lpstr>
      <vt:lpstr>ZUŠ!Oblast_tisku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</cp:lastModifiedBy>
  <cp:lastPrinted>2023-10-20T10:22:56Z</cp:lastPrinted>
  <dcterms:created xsi:type="dcterms:W3CDTF">2017-02-23T12:10:09Z</dcterms:created>
  <dcterms:modified xsi:type="dcterms:W3CDTF">2023-11-16T06:47:19Z</dcterms:modified>
</cp:coreProperties>
</file>