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ŠKOLY\"/>
    </mc:Choice>
  </mc:AlternateContent>
  <xr:revisionPtr revIDLastSave="0" documentId="13_ncr:1_{10D3356C-7C3F-4B41-856F-A2340F23F9E8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NR 2024" sheetId="3" r:id="rId1"/>
  </sheets>
  <definedNames>
    <definedName name="_xlnm.Print_Area" localSheetId="0">'NR 2024'!$A$1:$AC$77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3" l="1"/>
  <c r="J32" i="3"/>
  <c r="V32" i="3" l="1"/>
  <c r="W50" i="3" l="1"/>
  <c r="X50" i="3"/>
  <c r="V50" i="3"/>
  <c r="W32" i="3" l="1"/>
  <c r="R38" i="3"/>
  <c r="S36" i="3"/>
  <c r="Q35" i="3"/>
  <c r="Q32" i="3"/>
  <c r="Q34" i="3"/>
  <c r="Q33" i="3"/>
  <c r="Q31" i="3"/>
  <c r="R29" i="3" l="1"/>
  <c r="Q29" i="3"/>
  <c r="Q18" i="3"/>
  <c r="S21" i="3"/>
  <c r="U21" i="3" s="1"/>
  <c r="Q50" i="3"/>
  <c r="R50" i="3"/>
  <c r="P50" i="3"/>
  <c r="F29" i="3" l="1"/>
  <c r="E29" i="3"/>
  <c r="F38" i="3"/>
  <c r="E38" i="3"/>
  <c r="F34" i="3"/>
  <c r="E34" i="3"/>
  <c r="G36" i="3"/>
  <c r="F35" i="3"/>
  <c r="F31" i="3" l="1"/>
  <c r="D31" i="3"/>
  <c r="E35" i="3" l="1"/>
  <c r="F33" i="3"/>
  <c r="F32" i="3" s="1"/>
  <c r="D32" i="3"/>
  <c r="E33" i="3"/>
  <c r="E32" i="3" s="1"/>
  <c r="D35" i="3"/>
  <c r="G35" i="3" s="1"/>
  <c r="E31" i="3"/>
  <c r="F21" i="3"/>
  <c r="D17" i="3"/>
  <c r="F54" i="3"/>
  <c r="F50" i="3" s="1"/>
  <c r="E50" i="3"/>
  <c r="F51" i="3"/>
  <c r="F52" i="3"/>
  <c r="E52" i="3"/>
  <c r="D51" i="3"/>
  <c r="D50" i="3" s="1"/>
  <c r="M34" i="3" l="1"/>
  <c r="Z24" i="3" l="1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G24" i="3" l="1"/>
  <c r="S24" i="3"/>
  <c r="Y24" i="3"/>
  <c r="M24" i="3"/>
  <c r="Y54" i="3"/>
  <c r="Y53" i="3"/>
  <c r="Y52" i="3"/>
  <c r="Y51" i="3"/>
  <c r="Y50" i="3" s="1"/>
  <c r="S54" i="3"/>
  <c r="S53" i="3"/>
  <c r="S52" i="3"/>
  <c r="S51" i="3"/>
  <c r="G53" i="3"/>
  <c r="G54" i="3"/>
  <c r="M54" i="3" s="1"/>
  <c r="Z39" i="3"/>
  <c r="X39" i="3"/>
  <c r="W39" i="3"/>
  <c r="W40" i="3" s="1"/>
  <c r="V39" i="3"/>
  <c r="Y38" i="3"/>
  <c r="Y37" i="3"/>
  <c r="Y36" i="3"/>
  <c r="Y35" i="3"/>
  <c r="Y34" i="3"/>
  <c r="Y33" i="3"/>
  <c r="Y32" i="3"/>
  <c r="Y31" i="3"/>
  <c r="Y30" i="3"/>
  <c r="Y29" i="3"/>
  <c r="Y28" i="3"/>
  <c r="Y23" i="3"/>
  <c r="Y22" i="3"/>
  <c r="Y21" i="3"/>
  <c r="Y20" i="3"/>
  <c r="Y19" i="3"/>
  <c r="Y18" i="3"/>
  <c r="Y17" i="3"/>
  <c r="Y16" i="3"/>
  <c r="Y15" i="3"/>
  <c r="S15" i="3"/>
  <c r="U15" i="3" s="1"/>
  <c r="T39" i="3"/>
  <c r="R39" i="3"/>
  <c r="Q39" i="3"/>
  <c r="P39" i="3"/>
  <c r="S38" i="3"/>
  <c r="U38" i="3" s="1"/>
  <c r="S37" i="3"/>
  <c r="U37" i="3" s="1"/>
  <c r="U36" i="3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0" i="3"/>
  <c r="U20" i="3" s="1"/>
  <c r="S19" i="3"/>
  <c r="U19" i="3" s="1"/>
  <c r="S18" i="3"/>
  <c r="U18" i="3" s="1"/>
  <c r="S17" i="3"/>
  <c r="U17" i="3" s="1"/>
  <c r="S16" i="3"/>
  <c r="U16" i="3" s="1"/>
  <c r="S50" i="3" l="1"/>
  <c r="M53" i="3"/>
  <c r="U24" i="3"/>
  <c r="AA18" i="3"/>
  <c r="AA22" i="3"/>
  <c r="AA29" i="3"/>
  <c r="AA33" i="3"/>
  <c r="AA37" i="3"/>
  <c r="AA15" i="3"/>
  <c r="AA19" i="3"/>
  <c r="AA23" i="3"/>
  <c r="AA30" i="3"/>
  <c r="AA34" i="3"/>
  <c r="AA38" i="3"/>
  <c r="AA16" i="3"/>
  <c r="AA20" i="3"/>
  <c r="AA31" i="3"/>
  <c r="AA35" i="3"/>
  <c r="AA17" i="3"/>
  <c r="AA21" i="3"/>
  <c r="AA28" i="3"/>
  <c r="AA32" i="3"/>
  <c r="AA36" i="3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Y40" i="3"/>
  <c r="S40" i="3"/>
  <c r="U40" i="3"/>
  <c r="G38" i="3"/>
  <c r="AA40" i="3" l="1"/>
  <c r="AA41" i="3" s="1"/>
  <c r="U41" i="3"/>
  <c r="G18" i="3"/>
  <c r="G51" i="3" l="1"/>
  <c r="G52" i="3"/>
  <c r="M52" i="3" s="1"/>
  <c r="M51" i="3" l="1"/>
  <c r="G50" i="3"/>
  <c r="M50" i="3"/>
  <c r="N39" i="3"/>
  <c r="L39" i="3"/>
  <c r="K39" i="3"/>
  <c r="M38" i="3"/>
  <c r="M37" i="3"/>
  <c r="M36" i="3"/>
  <c r="M35" i="3"/>
  <c r="O34" i="3"/>
  <c r="AB34" i="3" s="1"/>
  <c r="M33" i="3"/>
  <c r="M32" i="3"/>
  <c r="M31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7" i="3"/>
  <c r="I28" i="3"/>
  <c r="G30" i="3"/>
  <c r="I15" i="3"/>
  <c r="G16" i="3"/>
  <c r="G17" i="3"/>
  <c r="I18" i="3"/>
  <c r="G19" i="3"/>
  <c r="I20" i="3"/>
  <c r="G21" i="3"/>
  <c r="G22" i="3"/>
  <c r="G23" i="3"/>
  <c r="O20" i="3" l="1"/>
  <c r="AB20" i="3" s="1"/>
  <c r="O15" i="3"/>
  <c r="AB15" i="3" s="1"/>
  <c r="O21" i="3"/>
  <c r="AB21" i="3" s="1"/>
  <c r="O16" i="3"/>
  <c r="AB16" i="3" s="1"/>
  <c r="O22" i="3"/>
  <c r="AB22" i="3" s="1"/>
  <c r="O17" i="3"/>
  <c r="AB17" i="3" s="1"/>
  <c r="O23" i="3"/>
  <c r="AB23" i="3" s="1"/>
  <c r="O18" i="3"/>
  <c r="AB18" i="3" s="1"/>
  <c r="O19" i="3"/>
  <c r="AB19" i="3" s="1"/>
  <c r="M39" i="3"/>
  <c r="I21" i="3"/>
  <c r="I17" i="3"/>
  <c r="I34" i="3"/>
  <c r="I29" i="3"/>
  <c r="O38" i="3"/>
  <c r="AB38" i="3" s="1"/>
  <c r="I16" i="3"/>
  <c r="I37" i="3"/>
  <c r="I33" i="3"/>
  <c r="O35" i="3"/>
  <c r="AB35" i="3" s="1"/>
  <c r="I23" i="3"/>
  <c r="I19" i="3"/>
  <c r="I36" i="3"/>
  <c r="I32" i="3"/>
  <c r="O28" i="3"/>
  <c r="AB28" i="3" s="1"/>
  <c r="O32" i="3"/>
  <c r="AB32" i="3" s="1"/>
  <c r="I22" i="3"/>
  <c r="I30" i="3"/>
  <c r="I35" i="3"/>
  <c r="I31" i="3"/>
  <c r="O29" i="3"/>
  <c r="AB29" i="3" s="1"/>
  <c r="O33" i="3"/>
  <c r="AB33" i="3" s="1"/>
  <c r="O37" i="3"/>
  <c r="AB37" i="3" s="1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O24" i="3" l="1"/>
  <c r="AB24" i="3" s="1"/>
  <c r="I39" i="3"/>
  <c r="I24" i="3"/>
  <c r="O30" i="3"/>
  <c r="AB30" i="3" s="1"/>
  <c r="D40" i="3"/>
  <c r="G39" i="3"/>
  <c r="G40" i="3" s="1"/>
  <c r="M40" i="3"/>
  <c r="O39" i="3" l="1"/>
  <c r="AB39" i="3" s="1"/>
  <c r="I40" i="3"/>
  <c r="I41" i="3" s="1"/>
  <c r="O40" i="3" l="1"/>
  <c r="AB40" i="3" s="1"/>
  <c r="O41" i="3" l="1"/>
  <c r="AB41" i="3" s="1"/>
</calcChain>
</file>

<file path=xl/sharedStrings.xml><?xml version="1.0" encoding="utf-8"?>
<sst xmlns="http://schemas.openxmlformats.org/spreadsheetml/2006/main" count="199" uniqueCount="110">
  <si>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</si>
  <si>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</si>
  <si>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</si>
  <si>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</si>
  <si>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</si>
  <si>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</si>
  <si>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</si>
  <si>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</si>
  <si>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</si>
  <si>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</si>
  <si>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</si>
  <si>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</si>
  <si>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</si>
  <si>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</si>
  <si>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</si>
  <si>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</si>
  <si>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</si>
  <si>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</si>
  <si>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</si>
  <si>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</si>
  <si>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</si>
  <si>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</si>
  <si>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</si>
  <si>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</si>
  <si>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</si>
  <si>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</si>
  <si>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</si>
  <si>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</si>
  <si>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</si>
  <si>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</si>
  <si>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</si>
  <si>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</si>
  <si>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</si>
  <si>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</si>
  <si>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</si>
  <si>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</si>
  <si>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</si>
  <si>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</si>
  <si>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</si>
  <si>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</si>
  <si>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</si>
  <si>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</si>
  <si>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</si>
  <si>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</si>
  <si>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</si>
  <si>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</si>
  <si>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</si>
  <si>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</si>
  <si>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</si>
  <si>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</si>
  <si>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</si>
  <si>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</si>
  <si>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</si>
  <si>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</si>
  <si>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</si>
  <si>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</si>
  <si>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</si>
  <si>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</si>
  <si>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</si>
  <si>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</si>
  <si>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</si>
  <si>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</si>
  <si>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</si>
  <si>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</si>
  <si>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</si>
  <si>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</si>
  <si>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</si>
  <si>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</si>
  <si>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</si>
  <si>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</si>
  <si>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</si>
  <si>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</si>
  <si>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</si>
  <si>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</si>
  <si>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</si>
  <si>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</si>
  <si>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</si>
  <si>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</si>
  <si>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</si>
  <si>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</si>
  <si>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</si>
  <si>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</si>
  <si>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</si>
  <si>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</si>
  <si>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</si>
  <si>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</si>
  <si>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</si>
  <si>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</si>
  <si>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</si>
  <si>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</si>
  <si>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</si>
  <si>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</si>
  <si>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</si>
  <si>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</si>
  <si>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</si>
  <si>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</si>
  <si>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</si>
  <si>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</si>
  <si>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</si>
  <si>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Porovnání s rokem 2022</t>
  </si>
  <si>
    <t>Skutečnost k 31.12.2022</t>
  </si>
  <si>
    <t>Schválený rozpočet (plán NaV 2023)</t>
  </si>
  <si>
    <t>Skutečnost k 30.6.2023</t>
  </si>
  <si>
    <t>Plán 2024 (návrh rozpočtu organizace)</t>
  </si>
  <si>
    <t>Návrh rozpočtu 2024</t>
  </si>
  <si>
    <t>Středisko volného času Domeček Chomutov, příspěvková organizace</t>
  </si>
  <si>
    <t>Jiráskova 4140, 430 03  Chomutov</t>
  </si>
  <si>
    <t>Vavrušková Blanka</t>
  </si>
  <si>
    <t>Bc. Radoslav Malarik</t>
  </si>
  <si>
    <t>Pro rok 2024 neočekáváme žádné výrazné změny, a tomu odpovídá i návrh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</si>
</sst>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72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29" xfId="0" applyFont="1" applyFill="1" applyBorder="1" applyAlignment="1" applyProtection="1">
      <alignment horizontal="center" vertical="center" wrapText="1"/>
    </xf>
    <xf numFmtId="0" fontId="1" fillId="14" borderId="33" xfId="0" applyFont="1" applyFill="1" applyBorder="1" applyAlignment="1" applyProtection="1">
      <alignment horizontal="center" vertical="center" wrapText="1"/>
    </xf>
    <xf numFmtId="0" fontId="1" fillId="14" borderId="18" xfId="0" applyFont="1" applyFill="1" applyBorder="1" applyAlignment="1" applyProtection="1">
      <alignment horizontal="center" vertical="center"/>
    </xf>
    <xf numFmtId="164" fontId="0" fillId="11" borderId="50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2" xfId="0" applyNumberFormat="1" applyFont="1" applyFill="1" applyBorder="1" applyAlignment="1" applyProtection="1">
      <alignment horizontal="right"/>
    </xf>
    <xf numFmtId="0" fontId="0" fillId="0" borderId="48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8" xfId="0" applyNumberFormat="1" applyFont="1" applyFill="1" applyBorder="1" applyAlignment="1" applyProtection="1">
      <alignment horizontal="right"/>
    </xf>
    <xf numFmtId="164" fontId="6" fillId="11" borderId="48" xfId="0" applyNumberFormat="1" applyFont="1" applyFill="1" applyBorder="1" applyAlignment="1" applyProtection="1">
      <alignment horizontal="right"/>
    </xf>
    <xf numFmtId="0" fontId="0" fillId="0" borderId="10" xfId="0" applyFill="1" applyBorder="1" applyAlignment="1" applyProtection="1">
      <alignment horizontal="center"/>
    </xf>
    <xf numFmtId="164" fontId="0" fillId="11" borderId="10" xfId="0" applyNumberFormat="1" applyFont="1" applyFill="1" applyBorder="1" applyAlignment="1" applyProtection="1">
      <alignment horizontal="right"/>
    </xf>
    <xf numFmtId="164" fontId="0" fillId="11" borderId="43" xfId="0" applyNumberFormat="1" applyFont="1" applyFill="1" applyBorder="1" applyAlignment="1" applyProtection="1">
      <alignment horizontal="right"/>
    </xf>
    <xf numFmtId="164" fontId="0" fillId="0" borderId="13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7" xfId="0" applyFont="1" applyFill="1" applyBorder="1" applyProtection="1"/>
    <xf numFmtId="164" fontId="1" fillId="3" borderId="24" xfId="0" applyNumberFormat="1" applyFont="1" applyFill="1" applyBorder="1" applyAlignment="1" applyProtection="1">
      <alignment horizontal="right"/>
    </xf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8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0" fontId="0" fillId="14" borderId="56" xfId="0" applyFill="1" applyBorder="1" applyAlignment="1" applyProtection="1">
      <alignment horizontal="center"/>
    </xf>
    <xf numFmtId="0" fontId="1" fillId="14" borderId="57" xfId="0" applyFont="1" applyFill="1" applyBorder="1" applyProtection="1"/>
    <xf numFmtId="0" fontId="12" fillId="0" borderId="33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2" xfId="0" applyNumberFormat="1" applyFont="1" applyFill="1" applyBorder="1" applyAlignment="1" applyProtection="1">
      <alignment horizontal="right"/>
    </xf>
    <xf numFmtId="0" fontId="0" fillId="0" borderId="49" xfId="0" applyFill="1" applyBorder="1" applyProtection="1"/>
    <xf numFmtId="0" fontId="0" fillId="0" borderId="49" xfId="0" applyBorder="1" applyProtection="1"/>
    <xf numFmtId="0" fontId="7" fillId="0" borderId="49" xfId="0" applyFont="1" applyBorder="1" applyProtection="1"/>
    <xf numFmtId="0" fontId="7" fillId="0" borderId="49" xfId="0" applyFont="1" applyBorder="1" applyAlignment="1" applyProtection="1">
      <alignment horizontal="left" indent="5"/>
    </xf>
    <xf numFmtId="164" fontId="1" fillId="5" borderId="33" xfId="0" applyNumberFormat="1" applyFont="1" applyFill="1" applyBorder="1" applyProtection="1"/>
    <xf numFmtId="164" fontId="1" fillId="5" borderId="54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7" xfId="0" applyNumberFormat="1" applyFont="1" applyFill="1" applyBorder="1" applyProtection="1"/>
    <xf numFmtId="164" fontId="1" fillId="14" borderId="18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8" xfId="0" applyNumberFormat="1" applyFont="1" applyFill="1" applyBorder="1" applyAlignment="1" applyProtection="1">
      <alignment horizontal="right"/>
      <protection locked="0"/>
    </xf>
    <xf numFmtId="164" fontId="6" fillId="5" borderId="48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11" xfId="0" applyNumberFormat="1" applyFont="1" applyFill="1" applyBorder="1" applyAlignment="1" applyProtection="1">
      <alignment horizontal="right"/>
      <protection locked="0"/>
    </xf>
    <xf numFmtId="164" fontId="0" fillId="0" borderId="22" xfId="0" applyNumberFormat="1" applyFont="1" applyFill="1" applyBorder="1" applyAlignment="1" applyProtection="1">
      <alignment horizontal="right"/>
      <protection locked="0"/>
    </xf>
    <xf numFmtId="164" fontId="0" fillId="2" borderId="22" xfId="0" applyNumberFormat="1" applyFont="1" applyFill="1" applyBorder="1" applyAlignment="1" applyProtection="1">
      <alignment horizontal="right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164" fontId="0" fillId="0" borderId="22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3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2" xfId="0" applyNumberFormat="1" applyFont="1" applyBorder="1" applyProtection="1">
      <protection locked="0"/>
    </xf>
    <xf numFmtId="164" fontId="0" fillId="0" borderId="52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164" fontId="0" fillId="0" borderId="39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8" xfId="0" applyNumberFormat="1" applyFont="1" applyFill="1" applyBorder="1" applyProtection="1">
      <protection locked="0"/>
    </xf>
    <xf numFmtId="164" fontId="0" fillId="0" borderId="4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0" xfId="0" applyNumberFormat="1" applyFont="1" applyFill="1" applyBorder="1" applyProtection="1">
      <protection locked="0"/>
    </xf>
    <xf numFmtId="164" fontId="13" fillId="14" borderId="33" xfId="0" applyNumberFormat="1" applyFont="1" applyFill="1" applyBorder="1" applyAlignment="1" applyProtection="1">
      <alignment horizontal="center" wrapText="1"/>
      <protection locked="0"/>
    </xf>
    <xf numFmtId="164" fontId="13" fillId="14" borderId="18" xfId="0" applyNumberFormat="1" applyFont="1" applyFill="1" applyBorder="1" applyAlignment="1" applyProtection="1">
      <alignment horizontal="center" wrapText="1"/>
    </xf>
    <xf numFmtId="164" fontId="1" fillId="0" borderId="47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8" xfId="0" applyFont="1" applyFill="1" applyBorder="1" applyAlignment="1" applyProtection="1">
      <alignment horizontal="left"/>
    </xf>
    <xf numFmtId="0" fontId="1" fillId="12" borderId="11" xfId="0" applyFont="1" applyFill="1" applyBorder="1" applyAlignment="1" applyProtection="1">
      <alignment horizontal="left"/>
    </xf>
    <xf numFmtId="0" fontId="0" fillId="0" borderId="45" xfId="0" applyBorder="1" applyProtection="1"/>
    <xf numFmtId="0" fontId="1" fillId="5" borderId="40" xfId="0" applyFont="1" applyFill="1" applyBorder="1" applyProtection="1"/>
    <xf numFmtId="164" fontId="1" fillId="0" borderId="31" xfId="0" applyNumberFormat="1" applyFont="1" applyFill="1" applyBorder="1" applyProtection="1">
      <protection locked="0"/>
    </xf>
    <xf numFmtId="164" fontId="1" fillId="0" borderId="19" xfId="0" applyNumberFormat="1" applyFont="1" applyFill="1" applyBorder="1" applyProtection="1">
      <protection locked="0"/>
    </xf>
    <xf numFmtId="164" fontId="1" fillId="14" borderId="33" xfId="0" applyNumberFormat="1" applyFont="1" applyFill="1" applyBorder="1" applyProtection="1">
      <protection locked="0"/>
    </xf>
    <xf numFmtId="0" fontId="16" fillId="0" borderId="37" xfId="0" applyFont="1" applyFill="1" applyBorder="1" applyAlignment="1" applyProtection="1">
      <alignment horizontal="center"/>
    </xf>
    <xf numFmtId="0" fontId="16" fillId="6" borderId="37" xfId="0" applyFont="1" applyFill="1" applyBorder="1" applyAlignment="1" applyProtection="1">
      <alignment horizontal="left"/>
    </xf>
    <xf numFmtId="165" fontId="16" fillId="6" borderId="37" xfId="0" applyNumberFormat="1" applyFont="1" applyFill="1" applyBorder="1" applyAlignment="1" applyProtection="1"/>
    <xf numFmtId="0" fontId="2" fillId="0" borderId="40" xfId="0" applyFont="1" applyFill="1" applyBorder="1" applyAlignment="1" applyProtection="1">
      <alignment horizontal="center"/>
    </xf>
    <xf numFmtId="0" fontId="2" fillId="0" borderId="40" xfId="0" applyFont="1" applyBorder="1" applyProtection="1"/>
    <xf numFmtId="164" fontId="5" fillId="14" borderId="33" xfId="0" applyNumberFormat="1" applyFont="1" applyFill="1" applyBorder="1" applyAlignment="1" applyProtection="1">
      <alignment horizontal="center"/>
    </xf>
    <xf numFmtId="164" fontId="5" fillId="14" borderId="17" xfId="0" applyNumberFormat="1" applyFont="1" applyFill="1" applyBorder="1" applyProtection="1"/>
    <xf numFmtId="0" fontId="2" fillId="14" borderId="17" xfId="0" applyFont="1" applyFill="1" applyBorder="1" applyProtection="1"/>
    <xf numFmtId="164" fontId="5" fillId="14" borderId="34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8" xfId="0" applyNumberFormat="1" applyFont="1" applyFill="1" applyBorder="1" applyProtection="1"/>
    <xf numFmtId="165" fontId="17" fillId="9" borderId="37" xfId="0" applyNumberFormat="1" applyFont="1" applyFill="1" applyBorder="1" applyAlignment="1" applyProtection="1"/>
    <xf numFmtId="165" fontId="17" fillId="9" borderId="29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1" xfId="0" applyFill="1" applyBorder="1"/>
    <xf numFmtId="0" fontId="0" fillId="0" borderId="0" xfId="0" applyFill="1" applyBorder="1"/>
    <xf numFmtId="0" fontId="0" fillId="0" borderId="35" xfId="0" applyFill="1" applyBorder="1"/>
    <xf numFmtId="0" fontId="0" fillId="0" borderId="5" xfId="0" applyFill="1" applyBorder="1" applyProtection="1"/>
    <xf numFmtId="0" fontId="0" fillId="10" borderId="49" xfId="0" applyFill="1" applyBorder="1" applyProtection="1"/>
    <xf numFmtId="0" fontId="7" fillId="5" borderId="49" xfId="0" applyFont="1" applyFill="1" applyBorder="1" applyProtection="1"/>
    <xf numFmtId="0" fontId="7" fillId="0" borderId="49" xfId="0" applyFont="1" applyFill="1" applyBorder="1" applyAlignment="1" applyProtection="1">
      <alignment horizontal="left"/>
    </xf>
    <xf numFmtId="0" fontId="4" fillId="0" borderId="49" xfId="0" applyFont="1" applyBorder="1" applyProtection="1"/>
    <xf numFmtId="0" fontId="0" fillId="0" borderId="44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8" fillId="0" borderId="33" xfId="0" applyFont="1" applyBorder="1" applyAlignment="1" applyProtection="1">
      <alignment horizontal="center"/>
    </xf>
    <xf numFmtId="0" fontId="18" fillId="0" borderId="17" xfId="0" applyFont="1" applyBorder="1" applyAlignment="1" applyProtection="1">
      <alignment horizontal="center"/>
    </xf>
    <xf numFmtId="164" fontId="0" fillId="5" borderId="53" xfId="0" applyNumberFormat="1" applyFont="1" applyFill="1" applyBorder="1" applyProtection="1">
      <protection locked="0"/>
    </xf>
    <xf numFmtId="10" fontId="7" fillId="0" borderId="22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3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2" xfId="0" applyNumberFormat="1" applyFont="1" applyFill="1" applyBorder="1" applyProtection="1"/>
    <xf numFmtId="0" fontId="0" fillId="0" borderId="38" xfId="0" applyFill="1" applyBorder="1"/>
    <xf numFmtId="0" fontId="0" fillId="0" borderId="39" xfId="0" applyFill="1" applyBorder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1" xfId="0" applyFont="1" applyFill="1" applyBorder="1" applyAlignment="1" applyProtection="1">
      <alignment horizontal="left"/>
      <protection locked="0"/>
    </xf>
    <xf numFmtId="164" fontId="0" fillId="11" borderId="1" xfId="0" applyNumberFormat="1" applyFill="1" applyBorder="1" applyAlignment="1" applyProtection="1">
      <alignment horizontal="right"/>
    </xf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2" xfId="0" applyNumberFormat="1" applyFill="1" applyBorder="1" applyProtection="1">
      <protection locked="0"/>
    </xf>
    <xf numFmtId="164" fontId="0" fillId="0" borderId="39" xfId="0" applyNumberFormat="1" applyBorder="1" applyProtection="1">
      <protection locked="0"/>
    </xf>
    <xf numFmtId="166" fontId="17" fillId="9" borderId="37" xfId="0" applyNumberFormat="1" applyFont="1" applyFill="1" applyBorder="1" applyAlignment="1" applyProtection="1"/>
    <xf numFmtId="166" fontId="17" fillId="9" borderId="29" xfId="0" applyNumberFormat="1" applyFont="1" applyFill="1" applyBorder="1" applyAlignment="1" applyProtection="1"/>
    <xf numFmtId="166" fontId="0" fillId="11" borderId="50" xfId="0" applyNumberFormat="1" applyFont="1" applyFill="1" applyBorder="1" applyAlignment="1" applyProtection="1">
      <alignment horizontal="right"/>
    </xf>
    <xf numFmtId="166" fontId="0" fillId="11" borderId="9" xfId="0" applyNumberFormat="1" applyFont="1" applyFill="1" applyBorder="1" applyAlignment="1" applyProtection="1">
      <alignment horizontal="right"/>
    </xf>
    <xf numFmtId="166" fontId="0" fillId="0" borderId="9" xfId="0" applyNumberFormat="1" applyFont="1" applyFill="1" applyBorder="1" applyAlignment="1" applyProtection="1">
      <alignment horizontal="right"/>
      <protection locked="0"/>
    </xf>
    <xf numFmtId="166" fontId="0" fillId="0" borderId="8" xfId="0" applyNumberFormat="1" applyFont="1" applyFill="1" applyBorder="1" applyAlignment="1" applyProtection="1">
      <alignment horizontal="right"/>
      <protection locked="0"/>
    </xf>
    <xf numFmtId="166" fontId="0" fillId="0" borderId="22" xfId="0" applyNumberFormat="1" applyFont="1" applyFill="1" applyBorder="1" applyAlignment="1" applyProtection="1">
      <alignment horizontal="right"/>
      <protection locked="0"/>
    </xf>
    <xf numFmtId="166" fontId="0" fillId="0" borderId="22" xfId="0" applyNumberFormat="1" applyFont="1" applyFill="1" applyBorder="1" applyAlignment="1" applyProtection="1">
      <alignment horizontal="right"/>
    </xf>
    <xf numFmtId="166" fontId="0" fillId="10" borderId="48" xfId="0" applyNumberFormat="1" applyFont="1" applyFill="1" applyBorder="1" applyAlignment="1" applyProtection="1">
      <alignment horizontal="right"/>
      <protection locked="0"/>
    </xf>
    <xf numFmtId="166" fontId="0" fillId="11" borderId="1" xfId="0" applyNumberFormat="1" applyFont="1" applyFill="1" applyBorder="1" applyAlignment="1" applyProtection="1">
      <alignment horizontal="right"/>
    </xf>
    <xf numFmtId="166" fontId="0" fillId="0" borderId="42" xfId="0" applyNumberFormat="1" applyFont="1" applyFill="1" applyBorder="1" applyAlignment="1" applyProtection="1">
      <alignment horizontal="right"/>
      <protection locked="0"/>
    </xf>
    <xf numFmtId="166" fontId="0" fillId="2" borderId="22" xfId="0" applyNumberFormat="1" applyFont="1" applyFill="1" applyBorder="1" applyAlignment="1" applyProtection="1">
      <alignment horizontal="right"/>
      <protection locked="0"/>
    </xf>
    <xf numFmtId="166" fontId="6" fillId="5" borderId="48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 applyProtection="1">
      <alignment horizontal="right"/>
    </xf>
    <xf numFmtId="166" fontId="0" fillId="2" borderId="14" xfId="0" applyNumberFormat="1" applyFont="1" applyFill="1" applyBorder="1" applyAlignment="1" applyProtection="1">
      <alignment horizontal="right"/>
      <protection locked="0"/>
    </xf>
    <xf numFmtId="166" fontId="0" fillId="11" borderId="48" xfId="0" applyNumberFormat="1" applyFont="1" applyFill="1" applyBorder="1" applyAlignment="1" applyProtection="1">
      <alignment horizontal="right"/>
    </xf>
    <xf numFmtId="166" fontId="6" fillId="0" borderId="1" xfId="0" applyNumberFormat="1" applyFont="1" applyFill="1" applyBorder="1" applyAlignment="1" applyProtection="1">
      <alignment horizontal="right"/>
      <protection locked="0"/>
    </xf>
    <xf numFmtId="166" fontId="6" fillId="11" borderId="48" xfId="0" applyNumberFormat="1" applyFont="1" applyFill="1" applyBorder="1" applyAlignment="1" applyProtection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0" fillId="0" borderId="22" xfId="0" applyNumberFormat="1" applyFont="1" applyBorder="1" applyAlignment="1" applyProtection="1">
      <alignment horizontal="right"/>
      <protection locked="0"/>
    </xf>
    <xf numFmtId="166" fontId="0" fillId="0" borderId="1" xfId="0" applyNumberFormat="1" applyFont="1" applyBorder="1" applyAlignment="1" applyProtection="1">
      <alignment horizontal="right"/>
      <protection locked="0"/>
    </xf>
    <xf numFmtId="166" fontId="0" fillId="0" borderId="14" xfId="0" applyNumberFormat="1" applyFont="1" applyBorder="1" applyAlignment="1" applyProtection="1">
      <alignment horizontal="right"/>
      <protection locked="0"/>
    </xf>
    <xf numFmtId="166" fontId="0" fillId="11" borderId="10" xfId="0" applyNumberFormat="1" applyFont="1" applyFill="1" applyBorder="1" applyAlignment="1" applyProtection="1">
      <alignment horizontal="right"/>
    </xf>
    <xf numFmtId="166" fontId="0" fillId="11" borderId="43" xfId="0" applyNumberFormat="1" applyFont="1" applyFill="1" applyBorder="1" applyAlignment="1" applyProtection="1">
      <alignment horizontal="right"/>
    </xf>
    <xf numFmtId="166" fontId="0" fillId="0" borderId="43" xfId="0" applyNumberFormat="1" applyFont="1" applyBorder="1" applyAlignment="1" applyProtection="1">
      <alignment horizontal="right"/>
      <protection locked="0"/>
    </xf>
    <xf numFmtId="166" fontId="0" fillId="0" borderId="11" xfId="0" applyNumberFormat="1" applyFont="1" applyFill="1" applyBorder="1" applyAlignment="1" applyProtection="1">
      <alignment horizontal="right"/>
      <protection locked="0"/>
    </xf>
    <xf numFmtId="166" fontId="0" fillId="0" borderId="15" xfId="0" applyNumberFormat="1" applyFont="1" applyBorder="1" applyAlignment="1" applyProtection="1">
      <alignment horizontal="right"/>
      <protection locked="0"/>
    </xf>
    <xf numFmtId="166" fontId="0" fillId="0" borderId="13" xfId="0" applyNumberFormat="1" applyFont="1" applyFill="1" applyBorder="1" applyAlignment="1" applyProtection="1">
      <alignment horizontal="right"/>
    </xf>
    <xf numFmtId="166" fontId="1" fillId="3" borderId="24" xfId="0" applyNumberFormat="1" applyFont="1" applyFill="1" applyBorder="1" applyAlignment="1" applyProtection="1">
      <alignment horizontal="right"/>
    </xf>
    <xf numFmtId="166" fontId="1" fillId="3" borderId="25" xfId="0" applyNumberFormat="1" applyFont="1" applyFill="1" applyBorder="1" applyAlignment="1" applyProtection="1">
      <alignment horizontal="right"/>
    </xf>
    <xf numFmtId="166" fontId="1" fillId="3" borderId="28" xfId="0" applyNumberFormat="1" applyFont="1" applyFill="1" applyBorder="1" applyAlignment="1" applyProtection="1">
      <alignment horizontal="right"/>
    </xf>
    <xf numFmtId="166" fontId="1" fillId="3" borderId="29" xfId="0" applyNumberFormat="1" applyFont="1" applyFill="1" applyBorder="1" applyAlignment="1" applyProtection="1">
      <alignment horizontal="right"/>
    </xf>
    <xf numFmtId="166" fontId="12" fillId="0" borderId="33" xfId="0" applyNumberFormat="1" applyFont="1" applyBorder="1" applyAlignment="1" applyProtection="1">
      <alignment horizontal="center"/>
    </xf>
    <xf numFmtId="166" fontId="12" fillId="0" borderId="17" xfId="0" applyNumberFormat="1" applyFont="1" applyBorder="1" applyAlignment="1" applyProtection="1">
      <alignment horizontal="center"/>
    </xf>
    <xf numFmtId="166" fontId="12" fillId="0" borderId="34" xfId="0" applyNumberFormat="1" applyFont="1" applyBorder="1" applyAlignment="1" applyProtection="1">
      <alignment horizontal="center"/>
    </xf>
    <xf numFmtId="166" fontId="0" fillId="0" borderId="53" xfId="0" applyNumberFormat="1" applyFont="1" applyBorder="1" applyProtection="1">
      <protection locked="0"/>
    </xf>
    <xf numFmtId="166" fontId="0" fillId="0" borderId="12" xfId="0" applyNumberFormat="1" applyFont="1" applyFill="1" applyBorder="1" applyAlignment="1" applyProtection="1">
      <alignment horizontal="right"/>
    </xf>
    <xf numFmtId="166" fontId="0" fillId="0" borderId="52" xfId="0" applyNumberFormat="1" applyFont="1" applyBorder="1" applyProtection="1">
      <protection locked="0"/>
    </xf>
    <xf numFmtId="166" fontId="0" fillId="0" borderId="52" xfId="0" applyNumberFormat="1" applyFont="1" applyFill="1" applyBorder="1" applyProtection="1">
      <protection locked="0"/>
    </xf>
    <xf numFmtId="166" fontId="0" fillId="0" borderId="55" xfId="0" applyNumberFormat="1" applyFont="1" applyBorder="1" applyProtection="1">
      <protection locked="0"/>
    </xf>
    <xf numFmtId="166" fontId="0" fillId="5" borderId="53" xfId="0" applyNumberFormat="1" applyFont="1" applyFill="1" applyBorder="1" applyProtection="1">
      <protection locked="0"/>
    </xf>
    <xf numFmtId="166" fontId="1" fillId="5" borderId="54" xfId="0" applyNumberFormat="1" applyFont="1" applyFill="1" applyBorder="1" applyProtection="1"/>
    <xf numFmtId="166" fontId="1" fillId="5" borderId="3" xfId="0" applyNumberFormat="1" applyFont="1" applyFill="1" applyBorder="1" applyProtection="1"/>
    <xf numFmtId="165" fontId="0" fillId="0" borderId="4" xfId="0" applyNumberFormat="1" applyFont="1" applyBorder="1" applyProtection="1">
      <protection locked="0"/>
    </xf>
    <xf numFmtId="165" fontId="0" fillId="0" borderId="7" xfId="0" applyNumberFormat="1" applyFont="1" applyBorder="1" applyProtection="1">
      <protection locked="0"/>
    </xf>
    <xf numFmtId="165" fontId="0" fillId="0" borderId="48" xfId="0" applyNumberFormat="1" applyFont="1" applyFill="1" applyBorder="1" applyProtection="1">
      <protection locked="0"/>
    </xf>
    <xf numFmtId="165" fontId="0" fillId="0" borderId="2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2" xfId="0" applyNumberFormat="1" applyFont="1" applyBorder="1" applyProtection="1">
      <protection locked="0"/>
    </xf>
    <xf numFmtId="165" fontId="0" fillId="0" borderId="10" xfId="0" applyNumberFormat="1" applyFont="1" applyBorder="1" applyProtection="1">
      <protection locked="0"/>
    </xf>
    <xf numFmtId="165" fontId="0" fillId="0" borderId="39" xfId="0" applyNumberFormat="1" applyFont="1" applyBorder="1" applyProtection="1">
      <protection locked="0"/>
    </xf>
    <xf numFmtId="165" fontId="1" fillId="5" borderId="33" xfId="0" applyNumberFormat="1" applyFont="1" applyFill="1" applyBorder="1" applyProtection="1"/>
    <xf numFmtId="0" fontId="16" fillId="0" borderId="16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" fillId="4" borderId="27" xfId="0" applyFont="1" applyFill="1" applyBorder="1" applyAlignment="1" applyProtection="1">
      <alignment horizontal="center" vertical="center" wrapText="1"/>
    </xf>
    <xf numFmtId="0" fontId="1" fillId="4" borderId="25" xfId="0" applyFont="1" applyFill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3" borderId="40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54" xfId="0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 wrapText="1"/>
    </xf>
    <xf numFmtId="0" fontId="0" fillId="0" borderId="20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164" fontId="8" fillId="5" borderId="40" xfId="0" applyNumberFormat="1" applyFont="1" applyFill="1" applyBorder="1" applyAlignment="1" applyProtection="1">
      <alignment horizont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57" xfId="0" applyNumberFormat="1" applyFont="1" applyFill="1" applyBorder="1" applyAlignment="1" applyProtection="1">
      <alignment horizontal="center"/>
    </xf>
    <xf numFmtId="164" fontId="8" fillId="5" borderId="51" xfId="0" applyNumberFormat="1" applyFont="1" applyFill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1" fillId="0" borderId="41" xfId="0" applyFont="1" applyBorder="1" applyAlignment="1" applyProtection="1">
      <alignment horizontal="center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8" xfId="0" applyNumberFormat="1" applyFont="1" applyFill="1" applyBorder="1" applyAlignment="1" applyProtection="1">
      <alignment horizontal="left"/>
      <protection locked="0"/>
    </xf>
    <xf numFmtId="0" fontId="1" fillId="0" borderId="24" xfId="0" applyFont="1" applyFill="1" applyBorder="1" applyAlignment="1" applyProtection="1">
      <alignment horizontal="center" wrapText="1"/>
    </xf>
    <xf numFmtId="0" fontId="1" fillId="0" borderId="23" xfId="0" applyFont="1" applyFill="1" applyBorder="1" applyAlignment="1" applyProtection="1">
      <alignment horizontal="center" wrapText="1"/>
    </xf>
    <xf numFmtId="166" fontId="8" fillId="5" borderId="40" xfId="0" applyNumberFormat="1" applyFont="1" applyFill="1" applyBorder="1" applyAlignment="1" applyProtection="1">
      <alignment horizontal="center"/>
    </xf>
    <xf numFmtId="166" fontId="8" fillId="5" borderId="41" xfId="0" applyNumberFormat="1" applyFont="1" applyFill="1" applyBorder="1" applyAlignment="1" applyProtection="1">
      <alignment horizontal="center"/>
    </xf>
    <xf numFmtId="166" fontId="8" fillId="5" borderId="57" xfId="0" applyNumberFormat="1" applyFont="1" applyFill="1" applyBorder="1" applyAlignment="1" applyProtection="1">
      <alignment horizontal="center"/>
    </xf>
    <xf numFmtId="166" fontId="8" fillId="5" borderId="51" xfId="0" applyNumberFormat="1" applyFont="1" applyFill="1" applyBorder="1" applyAlignment="1" applyProtection="1">
      <alignment horizontal="center"/>
    </xf>
    <xf numFmtId="166" fontId="1" fillId="0" borderId="40" xfId="0" applyNumberFormat="1" applyFont="1" applyBorder="1" applyAlignment="1" applyProtection="1">
      <alignment horizontal="center"/>
    </xf>
    <xf numFmtId="166" fontId="1" fillId="0" borderId="41" xfId="0" applyNumberFormat="1" applyFont="1" applyBorder="1" applyAlignment="1" applyProtection="1">
      <alignment horizontal="center"/>
    </xf>
    <xf numFmtId="166" fontId="0" fillId="0" borderId="26" xfId="0" applyNumberFormat="1" applyFont="1" applyBorder="1" applyAlignment="1" applyProtection="1">
      <alignment horizontal="center" vertical="center"/>
    </xf>
    <xf numFmtId="166" fontId="0" fillId="0" borderId="19" xfId="0" applyNumberFormat="1" applyFont="1" applyBorder="1" applyAlignment="1" applyProtection="1">
      <alignment horizontal="center" vertical="center"/>
    </xf>
    <xf numFmtId="166" fontId="0" fillId="0" borderId="29" xfId="0" applyNumberFormat="1" applyFont="1" applyBorder="1" applyAlignment="1" applyProtection="1">
      <alignment horizontal="center" vertical="center"/>
    </xf>
    <xf numFmtId="166" fontId="0" fillId="0" borderId="20" xfId="0" applyNumberFormat="1" applyFont="1" applyBorder="1" applyAlignment="1" applyProtection="1">
      <alignment horizontal="center" vertical="center"/>
    </xf>
    <xf numFmtId="166" fontId="14" fillId="0" borderId="51" xfId="0" applyNumberFormat="1" applyFont="1" applyFill="1" applyBorder="1" applyAlignment="1" applyProtection="1">
      <alignment horizontal="center" vertical="center"/>
    </xf>
    <xf numFmtId="166" fontId="14" fillId="0" borderId="47" xfId="0" applyNumberFormat="1" applyFont="1" applyFill="1" applyBorder="1" applyAlignment="1" applyProtection="1">
      <alignment horizontal="center" vertical="center"/>
    </xf>
    <xf numFmtId="0" fontId="1" fillId="13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0" fontId="1" fillId="12" borderId="56" xfId="0" applyFont="1" applyFill="1" applyBorder="1" applyAlignment="1" applyProtection="1">
      <alignment horizontal="left" vertical="center"/>
    </xf>
    <xf numFmtId="0" fontId="1" fillId="12" borderId="46" xfId="0" applyFont="1" applyFill="1" applyBorder="1" applyAlignment="1" applyProtection="1">
      <alignment horizontal="left" vertical="center"/>
    </xf>
    <xf numFmtId="0" fontId="1" fillId="12" borderId="20" xfId="0" applyFont="1" applyFill="1" applyBorder="1" applyAlignment="1" applyProtection="1">
      <alignment horizontal="left" vertical="center"/>
    </xf>
    <xf numFmtId="0" fontId="1" fillId="0" borderId="26" xfId="0" applyFont="1" applyBorder="1" applyAlignment="1" applyProtection="1">
      <alignment horizontal="center" vertical="center"/>
    </xf>
    <xf numFmtId="0" fontId="1" fillId="0" borderId="36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horizontal="center" vertical="center"/>
    </xf>
    <xf numFmtId="0" fontId="14" fillId="0" borderId="51" xfId="0" applyFont="1" applyFill="1" applyBorder="1" applyAlignment="1" applyProtection="1">
      <alignment horizontal="center" vertical="center"/>
    </xf>
    <xf numFmtId="0" fontId="14" fillId="0" borderId="47" xfId="0" applyFont="1" applyFill="1" applyBorder="1" applyAlignment="1" applyProtection="1">
      <alignment horizontal="center" vertical="center"/>
    </xf>
    <xf numFmtId="10" fontId="15" fillId="0" borderId="29" xfId="0" applyNumberFormat="1" applyFont="1" applyFill="1" applyBorder="1" applyAlignment="1" applyProtection="1">
      <alignment horizontal="center" vertical="center" wrapText="1"/>
    </xf>
    <xf numFmtId="10" fontId="15" fillId="0" borderId="13" xfId="0" applyNumberFormat="1" applyFont="1" applyFill="1" applyBorder="1" applyAlignment="1" applyProtection="1">
      <alignment horizontal="center" vertical="center" wrapText="1"/>
    </xf>
    <xf numFmtId="10" fontId="15" fillId="0" borderId="20" xfId="0" applyNumberFormat="1" applyFont="1" applyFill="1" applyBorder="1" applyAlignment="1" applyProtection="1">
      <alignment horizontal="center" vertical="center" wrapText="1"/>
    </xf>
    <xf numFmtId="10" fontId="1" fillId="0" borderId="29" xfId="0" applyNumberFormat="1" applyFont="1" applyBorder="1" applyAlignment="1" applyProtection="1">
      <alignment horizontal="center" vertical="center" wrapText="1"/>
    </xf>
    <xf numFmtId="10" fontId="1" fillId="0" borderId="13" xfId="0" applyNumberFormat="1" applyFont="1" applyBorder="1" applyAlignment="1" applyProtection="1">
      <alignment horizontal="center" vertical="center" wrapText="1"/>
    </xf>
    <xf numFmtId="10" fontId="1" fillId="0" borderId="20" xfId="0" applyNumberFormat="1" applyFont="1" applyBorder="1" applyAlignment="1" applyProtection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V36" sqref="V36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59.28515625" customWidth="1"/>
    <col min="4" max="4" width="16.5703125" customWidth="1"/>
    <col min="5" max="5" width="13.85546875" customWidth="1"/>
    <col min="6" max="6" width="13.140625" customWidth="1"/>
    <col min="7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1" bestFit="1" customWidth="1"/>
    <col min="14" max="14" width="13.28515625" customWidth="1"/>
    <col min="15" max="15" width="11.28515625" customWidth="1"/>
    <col min="16" max="16" width="13.140625" customWidth="1"/>
    <col min="17" max="17" width="12.7109375" customWidth="1"/>
    <col min="18" max="18" width="12.28515625" customWidth="1"/>
    <col min="19" max="19" width="16.710937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2" hidden="1"/>
  </cols>
  <sheetData>
    <row r="1" spans="1:30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4"/>
      <c r="B2" s="6" t="s">
        <v>104</v>
      </c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4"/>
      <c r="B4" s="4" t="s">
        <v>43</v>
      </c>
      <c r="C4" s="4"/>
      <c r="D4" s="252" t="s">
        <v>105</v>
      </c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4"/>
      <c r="B6" s="4" t="s">
        <v>44</v>
      </c>
      <c r="C6" s="4"/>
      <c r="D6" s="87">
        <v>71294147</v>
      </c>
      <c r="E6" s="4"/>
      <c r="F6" s="4"/>
      <c r="G6" s="4"/>
      <c r="H6" s="4"/>
      <c r="I6" s="4"/>
      <c r="J6" s="4"/>
      <c r="K6" s="4"/>
      <c r="L6" s="4"/>
      <c r="M6" s="5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4"/>
      <c r="B7" s="4"/>
      <c r="C7" s="4"/>
      <c r="D7" s="7"/>
      <c r="E7" s="4"/>
      <c r="F7" s="4"/>
      <c r="G7" s="4"/>
      <c r="H7" s="4"/>
      <c r="I7" s="4"/>
      <c r="J7" s="4"/>
      <c r="K7" s="4"/>
      <c r="L7" s="4"/>
      <c r="M7" s="5"/>
      <c r="N7" s="4"/>
      <c r="O7" s="4"/>
      <c r="P7" s="4"/>
      <c r="Q7" s="4"/>
      <c r="R7" s="4"/>
      <c r="S7" s="4"/>
      <c r="T7" s="4"/>
      <c r="U7" s="4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4"/>
      <c r="B8" s="4" t="s">
        <v>45</v>
      </c>
      <c r="C8" s="4"/>
      <c r="D8" s="253" t="s">
        <v>106</v>
      </c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5"/>
      <c r="N9" s="4"/>
      <c r="O9" s="4"/>
      <c r="P9" s="4"/>
      <c r="Q9" s="4"/>
      <c r="R9" s="4"/>
      <c r="S9" s="4"/>
      <c r="T9" s="4"/>
      <c r="U9" s="4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4"/>
      <c r="B10" s="231" t="s">
        <v>37</v>
      </c>
      <c r="C10" s="258" t="s">
        <v>38</v>
      </c>
      <c r="D10" s="206" t="s">
        <v>100</v>
      </c>
      <c r="E10" s="207"/>
      <c r="F10" s="207"/>
      <c r="G10" s="207"/>
      <c r="H10" s="207"/>
      <c r="I10" s="208"/>
      <c r="J10" s="206" t="s">
        <v>101</v>
      </c>
      <c r="K10" s="207"/>
      <c r="L10" s="207"/>
      <c r="M10" s="207"/>
      <c r="N10" s="207"/>
      <c r="O10" s="208"/>
      <c r="P10" s="206" t="s">
        <v>102</v>
      </c>
      <c r="Q10" s="207"/>
      <c r="R10" s="207"/>
      <c r="S10" s="207"/>
      <c r="T10" s="207"/>
      <c r="U10" s="208"/>
      <c r="V10" s="206" t="s">
        <v>103</v>
      </c>
      <c r="W10" s="207"/>
      <c r="X10" s="207"/>
      <c r="Y10" s="207"/>
      <c r="Z10" s="207"/>
      <c r="AA10" s="208"/>
      <c r="AB10" s="269" t="s">
        <v>99</v>
      </c>
      <c r="AC10" s="3"/>
      <c r="AD10" s="3"/>
    </row>
    <row r="11" spans="1:30" ht="30.75" customHeight="1" thickBot="1" x14ac:dyDescent="0.3">
      <c r="A11" s="4"/>
      <c r="B11" s="232"/>
      <c r="C11" s="259"/>
      <c r="D11" s="209" t="s">
        <v>39</v>
      </c>
      <c r="E11" s="210"/>
      <c r="F11" s="210"/>
      <c r="G11" s="211"/>
      <c r="H11" s="8" t="s">
        <v>40</v>
      </c>
      <c r="I11" s="8" t="s">
        <v>61</v>
      </c>
      <c r="J11" s="209" t="s">
        <v>39</v>
      </c>
      <c r="K11" s="210"/>
      <c r="L11" s="210"/>
      <c r="M11" s="211"/>
      <c r="N11" s="8" t="s">
        <v>40</v>
      </c>
      <c r="O11" s="8" t="s">
        <v>61</v>
      </c>
      <c r="P11" s="209" t="s">
        <v>39</v>
      </c>
      <c r="Q11" s="210"/>
      <c r="R11" s="210"/>
      <c r="S11" s="211"/>
      <c r="T11" s="8" t="s">
        <v>40</v>
      </c>
      <c r="U11" s="8" t="s">
        <v>61</v>
      </c>
      <c r="V11" s="209" t="s">
        <v>39</v>
      </c>
      <c r="W11" s="210"/>
      <c r="X11" s="210"/>
      <c r="Y11" s="211"/>
      <c r="Z11" s="8" t="s">
        <v>40</v>
      </c>
      <c r="AA11" s="8" t="s">
        <v>61</v>
      </c>
      <c r="AB11" s="270"/>
      <c r="AC11" s="3"/>
      <c r="AD11" s="3"/>
    </row>
    <row r="12" spans="1:30" ht="15.75" customHeight="1" thickBot="1" x14ac:dyDescent="0.3">
      <c r="A12" s="4"/>
      <c r="B12" s="232"/>
      <c r="C12" s="260"/>
      <c r="D12" s="212" t="s">
        <v>62</v>
      </c>
      <c r="E12" s="213"/>
      <c r="F12" s="213"/>
      <c r="G12" s="213"/>
      <c r="H12" s="213"/>
      <c r="I12" s="214"/>
      <c r="J12" s="212" t="s">
        <v>62</v>
      </c>
      <c r="K12" s="213"/>
      <c r="L12" s="213"/>
      <c r="M12" s="213"/>
      <c r="N12" s="213"/>
      <c r="O12" s="214"/>
      <c r="P12" s="212" t="s">
        <v>62</v>
      </c>
      <c r="Q12" s="213"/>
      <c r="R12" s="213"/>
      <c r="S12" s="213"/>
      <c r="T12" s="213"/>
      <c r="U12" s="214"/>
      <c r="V12" s="212" t="s">
        <v>62</v>
      </c>
      <c r="W12" s="213"/>
      <c r="X12" s="213"/>
      <c r="Y12" s="213"/>
      <c r="Z12" s="213"/>
      <c r="AA12" s="214"/>
      <c r="AB12" s="270"/>
      <c r="AC12" s="3"/>
      <c r="AD12" s="3"/>
    </row>
    <row r="13" spans="1:30" ht="15.75" customHeight="1" thickBot="1" x14ac:dyDescent="0.3">
      <c r="A13" s="4"/>
      <c r="B13" s="233"/>
      <c r="C13" s="261"/>
      <c r="D13" s="215" t="s">
        <v>57</v>
      </c>
      <c r="E13" s="216"/>
      <c r="F13" s="216"/>
      <c r="G13" s="217" t="s">
        <v>63</v>
      </c>
      <c r="H13" s="219" t="s">
        <v>66</v>
      </c>
      <c r="I13" s="221" t="s">
        <v>62</v>
      </c>
      <c r="J13" s="215" t="s">
        <v>57</v>
      </c>
      <c r="K13" s="216"/>
      <c r="L13" s="216"/>
      <c r="M13" s="217" t="s">
        <v>63</v>
      </c>
      <c r="N13" s="219" t="s">
        <v>66</v>
      </c>
      <c r="O13" s="221" t="s">
        <v>62</v>
      </c>
      <c r="P13" s="215" t="s">
        <v>57</v>
      </c>
      <c r="Q13" s="216"/>
      <c r="R13" s="216"/>
      <c r="S13" s="217" t="s">
        <v>63</v>
      </c>
      <c r="T13" s="219" t="s">
        <v>66</v>
      </c>
      <c r="U13" s="221" t="s">
        <v>62</v>
      </c>
      <c r="V13" s="215" t="s">
        <v>57</v>
      </c>
      <c r="W13" s="216"/>
      <c r="X13" s="216"/>
      <c r="Y13" s="217" t="s">
        <v>63</v>
      </c>
      <c r="Z13" s="219" t="s">
        <v>66</v>
      </c>
      <c r="AA13" s="221" t="s">
        <v>62</v>
      </c>
      <c r="AB13" s="270"/>
      <c r="AC13" s="3"/>
      <c r="AD13" s="3"/>
    </row>
    <row r="14" spans="1:30" ht="15.75" thickBot="1" x14ac:dyDescent="0.3">
      <c r="A14" s="4"/>
      <c r="B14" s="9"/>
      <c r="C14" s="10"/>
      <c r="D14" s="135" t="s">
        <v>58</v>
      </c>
      <c r="E14" s="136" t="s">
        <v>90</v>
      </c>
      <c r="F14" s="136" t="s">
        <v>59</v>
      </c>
      <c r="G14" s="218"/>
      <c r="H14" s="220"/>
      <c r="I14" s="222"/>
      <c r="J14" s="135" t="s">
        <v>58</v>
      </c>
      <c r="K14" s="136" t="s">
        <v>90</v>
      </c>
      <c r="L14" s="136" t="s">
        <v>59</v>
      </c>
      <c r="M14" s="218"/>
      <c r="N14" s="220"/>
      <c r="O14" s="222"/>
      <c r="P14" s="135" t="s">
        <v>58</v>
      </c>
      <c r="Q14" s="136" t="s">
        <v>90</v>
      </c>
      <c r="R14" s="136" t="s">
        <v>59</v>
      </c>
      <c r="S14" s="218"/>
      <c r="T14" s="220"/>
      <c r="U14" s="222"/>
      <c r="V14" s="135" t="s">
        <v>58</v>
      </c>
      <c r="W14" s="136" t="s">
        <v>90</v>
      </c>
      <c r="X14" s="136" t="s">
        <v>59</v>
      </c>
      <c r="Y14" s="218"/>
      <c r="Z14" s="220"/>
      <c r="AA14" s="222"/>
      <c r="AB14" s="271"/>
      <c r="AC14" s="3"/>
      <c r="AD14" s="3"/>
    </row>
    <row r="15" spans="1:30" x14ac:dyDescent="0.25">
      <c r="A15" s="4"/>
      <c r="B15" s="34" t="s">
        <v>0</v>
      </c>
      <c r="C15" s="124" t="s">
        <v>52</v>
      </c>
      <c r="D15" s="11"/>
      <c r="E15" s="12"/>
      <c r="F15" s="55">
        <v>2363.1010000000001</v>
      </c>
      <c r="G15" s="62">
        <f>SUM(D15:F15)</f>
        <v>2363.1010000000001</v>
      </c>
      <c r="H15" s="65">
        <v>256.97899999999998</v>
      </c>
      <c r="I15" s="13">
        <f>G15+H15</f>
        <v>2620.08</v>
      </c>
      <c r="J15" s="155"/>
      <c r="K15" s="156"/>
      <c r="L15" s="157">
        <v>2400</v>
      </c>
      <c r="M15" s="158">
        <f t="shared" ref="M15:M23" si="0">SUM(J15:L15)</f>
        <v>2400</v>
      </c>
      <c r="N15" s="159">
        <v>350</v>
      </c>
      <c r="O15" s="160">
        <f>M15+N15</f>
        <v>2750</v>
      </c>
      <c r="P15" s="11"/>
      <c r="Q15" s="12"/>
      <c r="R15" s="150">
        <v>1682.069</v>
      </c>
      <c r="S15" s="62">
        <f>SUM(P15:R15)</f>
        <v>1682.069</v>
      </c>
      <c r="T15" s="65">
        <v>120.61799999999999</v>
      </c>
      <c r="U15" s="13">
        <f>S15+T15</f>
        <v>1802.6869999999999</v>
      </c>
      <c r="V15" s="11"/>
      <c r="W15" s="12"/>
      <c r="X15" s="55">
        <v>2400</v>
      </c>
      <c r="Y15" s="62">
        <f>SUM(V15:X15)</f>
        <v>2400</v>
      </c>
      <c r="Z15" s="65">
        <v>350</v>
      </c>
      <c r="AA15" s="13">
        <f>Y15+Z15</f>
        <v>2750</v>
      </c>
      <c r="AB15" s="138">
        <f>(AA15/O15)</f>
        <v>1</v>
      </c>
      <c r="AC15" s="3"/>
      <c r="AD15" s="3"/>
    </row>
    <row r="16" spans="1:30" x14ac:dyDescent="0.25">
      <c r="A16" s="4"/>
      <c r="B16" s="14" t="s">
        <v>1</v>
      </c>
      <c r="C16" s="125" t="s">
        <v>60</v>
      </c>
      <c r="D16" s="56">
        <v>1310</v>
      </c>
      <c r="E16" s="15"/>
      <c r="F16" s="15"/>
      <c r="G16" s="63">
        <f t="shared" ref="G16:G23" si="1">SUM(D16:F16)</f>
        <v>1310</v>
      </c>
      <c r="H16" s="66"/>
      <c r="I16" s="13">
        <f t="shared" ref="I16:I23" si="2">G16+H16</f>
        <v>1310</v>
      </c>
      <c r="J16" s="161">
        <v>1714.9</v>
      </c>
      <c r="K16" s="162"/>
      <c r="L16" s="162"/>
      <c r="M16" s="163">
        <f t="shared" si="0"/>
        <v>1714.9</v>
      </c>
      <c r="N16" s="164"/>
      <c r="O16" s="160">
        <f t="shared" ref="O16:O20" si="3">M16+N16</f>
        <v>1714.9</v>
      </c>
      <c r="P16" s="56">
        <v>857.5</v>
      </c>
      <c r="Q16" s="149"/>
      <c r="R16" s="15"/>
      <c r="S16" s="63">
        <f t="shared" ref="S16:S23" si="4">SUM(P16:R16)</f>
        <v>857.5</v>
      </c>
      <c r="T16" s="66"/>
      <c r="U16" s="13">
        <f t="shared" ref="U16:U21" si="5">S16+T16</f>
        <v>857.5</v>
      </c>
      <c r="V16" s="56">
        <v>1810</v>
      </c>
      <c r="W16" s="15"/>
      <c r="X16" s="15"/>
      <c r="Y16" s="63">
        <f t="shared" ref="Y16:Y23" si="6">SUM(V16:X16)</f>
        <v>1810</v>
      </c>
      <c r="Z16" s="66"/>
      <c r="AA16" s="13">
        <f t="shared" ref="AA16:AA20" si="7">Y16+Z16</f>
        <v>1810</v>
      </c>
      <c r="AB16" s="138">
        <f t="shared" ref="AB16:AB24" si="8">(AA16/O16)</f>
        <v>1.0554551285789258</v>
      </c>
      <c r="AC16" s="3"/>
      <c r="AD16" s="3"/>
    </row>
    <row r="17" spans="1:30" x14ac:dyDescent="0.25">
      <c r="A17" s="4"/>
      <c r="B17" s="14" t="s">
        <v>3</v>
      </c>
      <c r="C17" s="126" t="s">
        <v>79</v>
      </c>
      <c r="D17" s="57">
        <f>163.653+137+22.6</f>
        <v>323.25300000000004</v>
      </c>
      <c r="E17" s="16"/>
      <c r="F17" s="16"/>
      <c r="G17" s="63">
        <f t="shared" si="1"/>
        <v>323.25300000000004</v>
      </c>
      <c r="H17" s="67"/>
      <c r="I17" s="13">
        <f t="shared" si="2"/>
        <v>323.25300000000004</v>
      </c>
      <c r="J17" s="165">
        <v>183.2</v>
      </c>
      <c r="K17" s="166"/>
      <c r="L17" s="166"/>
      <c r="M17" s="163">
        <f t="shared" si="0"/>
        <v>183.2</v>
      </c>
      <c r="N17" s="167"/>
      <c r="O17" s="160">
        <f t="shared" si="3"/>
        <v>183.2</v>
      </c>
      <c r="P17" s="57"/>
      <c r="Q17" s="16"/>
      <c r="R17" s="16"/>
      <c r="S17" s="63">
        <f t="shared" si="4"/>
        <v>0</v>
      </c>
      <c r="T17" s="67"/>
      <c r="U17" s="13">
        <f t="shared" si="5"/>
        <v>0</v>
      </c>
      <c r="V17" s="57">
        <v>183</v>
      </c>
      <c r="W17" s="16"/>
      <c r="X17" s="16"/>
      <c r="Y17" s="63">
        <f t="shared" si="6"/>
        <v>183</v>
      </c>
      <c r="Z17" s="67"/>
      <c r="AA17" s="13">
        <f t="shared" si="7"/>
        <v>183</v>
      </c>
      <c r="AB17" s="138">
        <f t="shared" si="8"/>
        <v>0.99890829694323147</v>
      </c>
      <c r="AC17" s="3"/>
      <c r="AD17" s="3"/>
    </row>
    <row r="18" spans="1:30" x14ac:dyDescent="0.25">
      <c r="A18" s="4"/>
      <c r="B18" s="14" t="s">
        <v>5</v>
      </c>
      <c r="C18" s="127" t="s">
        <v>53</v>
      </c>
      <c r="D18" s="17"/>
      <c r="E18" s="58">
        <v>11497.433999999999</v>
      </c>
      <c r="F18" s="16"/>
      <c r="G18" s="63">
        <f t="shared" si="1"/>
        <v>11497.433999999999</v>
      </c>
      <c r="H18" s="65"/>
      <c r="I18" s="13">
        <f t="shared" si="2"/>
        <v>11497.433999999999</v>
      </c>
      <c r="J18" s="168"/>
      <c r="K18" s="169">
        <v>10349.6</v>
      </c>
      <c r="L18" s="166"/>
      <c r="M18" s="163">
        <f t="shared" si="0"/>
        <v>10349.6</v>
      </c>
      <c r="N18" s="159"/>
      <c r="O18" s="160">
        <f t="shared" si="3"/>
        <v>10349.6</v>
      </c>
      <c r="P18" s="17"/>
      <c r="Q18" s="58">
        <f>4707+347.822+123.5+392.024</f>
        <v>5570.3460000000005</v>
      </c>
      <c r="R18" s="16"/>
      <c r="S18" s="63">
        <f t="shared" si="4"/>
        <v>5570.3460000000005</v>
      </c>
      <c r="T18" s="65"/>
      <c r="U18" s="13">
        <f t="shared" si="5"/>
        <v>5570.3460000000005</v>
      </c>
      <c r="V18" s="17"/>
      <c r="W18" s="58">
        <v>10349.6</v>
      </c>
      <c r="X18" s="16"/>
      <c r="Y18" s="63">
        <f t="shared" si="6"/>
        <v>10349.6</v>
      </c>
      <c r="Z18" s="65"/>
      <c r="AA18" s="13">
        <f t="shared" si="7"/>
        <v>10349.6</v>
      </c>
      <c r="AB18" s="138">
        <f t="shared" si="8"/>
        <v>1</v>
      </c>
      <c r="AC18" s="3"/>
      <c r="AD18" s="3"/>
    </row>
    <row r="19" spans="1:30" x14ac:dyDescent="0.25">
      <c r="A19" s="4"/>
      <c r="B19" s="14" t="s">
        <v>7</v>
      </c>
      <c r="C19" s="39" t="s">
        <v>46</v>
      </c>
      <c r="D19" s="18"/>
      <c r="E19" s="16"/>
      <c r="F19" s="59">
        <v>346.97500000000002</v>
      </c>
      <c r="G19" s="63">
        <f t="shared" si="1"/>
        <v>346.97500000000002</v>
      </c>
      <c r="H19" s="68"/>
      <c r="I19" s="13">
        <f t="shared" si="2"/>
        <v>346.97500000000002</v>
      </c>
      <c r="J19" s="170"/>
      <c r="K19" s="166"/>
      <c r="L19" s="171">
        <v>347</v>
      </c>
      <c r="M19" s="163">
        <f t="shared" si="0"/>
        <v>347</v>
      </c>
      <c r="N19" s="172"/>
      <c r="O19" s="160">
        <f t="shared" si="3"/>
        <v>347</v>
      </c>
      <c r="P19" s="18"/>
      <c r="Q19" s="16"/>
      <c r="R19" s="59">
        <v>173.48500000000001</v>
      </c>
      <c r="S19" s="63">
        <f t="shared" si="4"/>
        <v>173.48500000000001</v>
      </c>
      <c r="T19" s="68"/>
      <c r="U19" s="13">
        <f t="shared" si="5"/>
        <v>173.48500000000001</v>
      </c>
      <c r="V19" s="18"/>
      <c r="W19" s="16"/>
      <c r="X19" s="59">
        <v>347</v>
      </c>
      <c r="Y19" s="63">
        <f t="shared" si="6"/>
        <v>347</v>
      </c>
      <c r="Z19" s="68"/>
      <c r="AA19" s="13">
        <f t="shared" si="7"/>
        <v>347</v>
      </c>
      <c r="AB19" s="138">
        <f t="shared" si="8"/>
        <v>1</v>
      </c>
      <c r="AC19" s="3"/>
      <c r="AD19" s="3"/>
    </row>
    <row r="20" spans="1:30" x14ac:dyDescent="0.25">
      <c r="A20" s="4"/>
      <c r="B20" s="14" t="s">
        <v>9</v>
      </c>
      <c r="C20" s="128" t="s">
        <v>47</v>
      </c>
      <c r="D20" s="17"/>
      <c r="E20" s="15"/>
      <c r="F20" s="60"/>
      <c r="G20" s="63"/>
      <c r="H20" s="68"/>
      <c r="I20" s="13">
        <f t="shared" si="2"/>
        <v>0</v>
      </c>
      <c r="J20" s="168"/>
      <c r="K20" s="162"/>
      <c r="L20" s="173">
        <v>30</v>
      </c>
      <c r="M20" s="163">
        <f t="shared" si="0"/>
        <v>30</v>
      </c>
      <c r="N20" s="172"/>
      <c r="O20" s="160">
        <f t="shared" si="3"/>
        <v>30</v>
      </c>
      <c r="P20" s="17"/>
      <c r="Q20" s="15"/>
      <c r="R20" s="60"/>
      <c r="S20" s="63">
        <f t="shared" si="4"/>
        <v>0</v>
      </c>
      <c r="T20" s="68"/>
      <c r="U20" s="13">
        <f t="shared" si="5"/>
        <v>0</v>
      </c>
      <c r="V20" s="17"/>
      <c r="W20" s="15"/>
      <c r="X20" s="60">
        <v>30</v>
      </c>
      <c r="Y20" s="63">
        <f t="shared" si="6"/>
        <v>30</v>
      </c>
      <c r="Z20" s="68"/>
      <c r="AA20" s="13">
        <f t="shared" si="7"/>
        <v>30</v>
      </c>
      <c r="AB20" s="138">
        <f t="shared" si="8"/>
        <v>1</v>
      </c>
      <c r="AC20" s="3"/>
      <c r="AD20" s="3"/>
    </row>
    <row r="21" spans="1:30" x14ac:dyDescent="0.25">
      <c r="A21" s="4"/>
      <c r="B21" s="14" t="s">
        <v>11</v>
      </c>
      <c r="C21" s="38" t="s">
        <v>2</v>
      </c>
      <c r="D21" s="17"/>
      <c r="E21" s="15"/>
      <c r="F21" s="60">
        <f>35.29+127.394</f>
        <v>162.684</v>
      </c>
      <c r="G21" s="63">
        <f t="shared" si="1"/>
        <v>162.684</v>
      </c>
      <c r="H21" s="69">
        <v>17</v>
      </c>
      <c r="I21" s="13">
        <f>G21+H21</f>
        <v>179.684</v>
      </c>
      <c r="J21" s="168"/>
      <c r="K21" s="162"/>
      <c r="L21" s="173">
        <v>80</v>
      </c>
      <c r="M21" s="163">
        <f t="shared" si="0"/>
        <v>80</v>
      </c>
      <c r="N21" s="174"/>
      <c r="O21" s="160">
        <f>M21+N21</f>
        <v>80</v>
      </c>
      <c r="P21" s="17"/>
      <c r="Q21" s="15"/>
      <c r="R21" s="60">
        <v>103.9</v>
      </c>
      <c r="S21" s="63">
        <f>53.13-2.5+53.275</f>
        <v>103.905</v>
      </c>
      <c r="T21" s="69">
        <v>2.5</v>
      </c>
      <c r="U21" s="13">
        <f t="shared" si="5"/>
        <v>106.405</v>
      </c>
      <c r="V21" s="17"/>
      <c r="W21" s="15"/>
      <c r="X21" s="60">
        <v>170</v>
      </c>
      <c r="Y21" s="63">
        <f t="shared" si="6"/>
        <v>170</v>
      </c>
      <c r="Z21" s="69"/>
      <c r="AA21" s="13">
        <f>Y21+Z21</f>
        <v>170</v>
      </c>
      <c r="AB21" s="138">
        <f t="shared" si="8"/>
        <v>2.125</v>
      </c>
      <c r="AC21" s="3"/>
      <c r="AD21" s="3"/>
    </row>
    <row r="22" spans="1:30" x14ac:dyDescent="0.25">
      <c r="A22" s="4"/>
      <c r="B22" s="14" t="s">
        <v>13</v>
      </c>
      <c r="C22" s="38" t="s">
        <v>4</v>
      </c>
      <c r="D22" s="17"/>
      <c r="E22" s="15"/>
      <c r="F22" s="60"/>
      <c r="G22" s="63">
        <f t="shared" si="1"/>
        <v>0</v>
      </c>
      <c r="H22" s="69"/>
      <c r="I22" s="13">
        <f t="shared" si="2"/>
        <v>0</v>
      </c>
      <c r="J22" s="168"/>
      <c r="K22" s="162"/>
      <c r="L22" s="173">
        <v>0</v>
      </c>
      <c r="M22" s="163">
        <f t="shared" si="0"/>
        <v>0</v>
      </c>
      <c r="N22" s="174"/>
      <c r="O22" s="160">
        <f t="shared" ref="O22:O23" si="9">M22+N22</f>
        <v>0</v>
      </c>
      <c r="P22" s="17"/>
      <c r="Q22" s="15"/>
      <c r="R22" s="60"/>
      <c r="S22" s="63">
        <f t="shared" si="4"/>
        <v>0</v>
      </c>
      <c r="T22" s="69"/>
      <c r="U22" s="13">
        <f t="shared" ref="U22:U23" si="10">S22+T22</f>
        <v>0</v>
      </c>
      <c r="V22" s="17"/>
      <c r="W22" s="15"/>
      <c r="X22" s="60">
        <v>0</v>
      </c>
      <c r="Y22" s="63">
        <f t="shared" si="6"/>
        <v>0</v>
      </c>
      <c r="Z22" s="69"/>
      <c r="AA22" s="13">
        <f t="shared" ref="AA22:AA23" si="11">Y22+Z22</f>
        <v>0</v>
      </c>
      <c r="AB22" s="138" t="e">
        <f t="shared" si="8"/>
        <v>#DIV/0!</v>
      </c>
      <c r="AC22" s="3"/>
      <c r="AD22" s="3"/>
    </row>
    <row r="23" spans="1:30" ht="15.75" thickBot="1" x14ac:dyDescent="0.3">
      <c r="A23" s="4"/>
      <c r="B23" s="129" t="s">
        <v>15</v>
      </c>
      <c r="C23" s="130" t="s">
        <v>6</v>
      </c>
      <c r="D23" s="20"/>
      <c r="E23" s="21"/>
      <c r="F23" s="61"/>
      <c r="G23" s="64">
        <f t="shared" si="1"/>
        <v>0</v>
      </c>
      <c r="H23" s="70"/>
      <c r="I23" s="22">
        <f t="shared" si="2"/>
        <v>0</v>
      </c>
      <c r="J23" s="175"/>
      <c r="K23" s="176"/>
      <c r="L23" s="177">
        <v>0</v>
      </c>
      <c r="M23" s="178">
        <f t="shared" si="0"/>
        <v>0</v>
      </c>
      <c r="N23" s="179"/>
      <c r="O23" s="180">
        <f t="shared" si="9"/>
        <v>0</v>
      </c>
      <c r="P23" s="20"/>
      <c r="Q23" s="21"/>
      <c r="R23" s="61"/>
      <c r="S23" s="64">
        <f t="shared" si="4"/>
        <v>0</v>
      </c>
      <c r="T23" s="70"/>
      <c r="U23" s="22">
        <f t="shared" si="10"/>
        <v>0</v>
      </c>
      <c r="V23" s="20"/>
      <c r="W23" s="21"/>
      <c r="X23" s="61">
        <v>0</v>
      </c>
      <c r="Y23" s="64">
        <f t="shared" si="6"/>
        <v>0</v>
      </c>
      <c r="Z23" s="70"/>
      <c r="AA23" s="22">
        <f t="shared" si="11"/>
        <v>0</v>
      </c>
      <c r="AB23" s="141" t="e">
        <f t="shared" si="8"/>
        <v>#DIV/0!</v>
      </c>
      <c r="AC23" s="3"/>
      <c r="AD23" s="3"/>
    </row>
    <row r="24" spans="1:30" ht="15.75" thickBot="1" x14ac:dyDescent="0.3">
      <c r="A24" s="4"/>
      <c r="B24" s="23" t="s">
        <v>17</v>
      </c>
      <c r="C24" s="24" t="s">
        <v>8</v>
      </c>
      <c r="D24" s="25">
        <f>SUM(D15:D21)</f>
        <v>1633.2530000000002</v>
      </c>
      <c r="E24" s="26">
        <f>SUM(E15:E21)</f>
        <v>11497.433999999999</v>
      </c>
      <c r="F24" s="26">
        <f>SUM(F15:F21)</f>
        <v>2872.76</v>
      </c>
      <c r="G24" s="27">
        <f>SUM(D24:F24)</f>
        <v>16003.447</v>
      </c>
      <c r="H24" s="28">
        <f>SUM(H15:H21)</f>
        <v>273.97899999999998</v>
      </c>
      <c r="I24" s="28">
        <f>SUM(I15:I21)</f>
        <v>16277.425999999999</v>
      </c>
      <c r="J24" s="181">
        <f>SUM(J15:J21)</f>
        <v>1898.1000000000001</v>
      </c>
      <c r="K24" s="182">
        <f>SUM(K15:K21)</f>
        <v>10349.6</v>
      </c>
      <c r="L24" s="182">
        <f>SUM(L15:L21)</f>
        <v>2857</v>
      </c>
      <c r="M24" s="183">
        <f>SUM(J24:L24)</f>
        <v>15104.7</v>
      </c>
      <c r="N24" s="184">
        <f>SUM(N15:N21)</f>
        <v>350</v>
      </c>
      <c r="O24" s="184">
        <f>SUM(O15:O21)</f>
        <v>15454.7</v>
      </c>
      <c r="P24" s="25">
        <f>SUM(P15:P21)</f>
        <v>857.5</v>
      </c>
      <c r="Q24" s="26">
        <f>SUM(Q15:Q21)</f>
        <v>5570.3460000000005</v>
      </c>
      <c r="R24" s="26">
        <f>SUM(R15:R21)</f>
        <v>1959.4540000000002</v>
      </c>
      <c r="S24" s="27">
        <f>SUM(P24:R24)</f>
        <v>8387.3000000000011</v>
      </c>
      <c r="T24" s="28">
        <f>SUM(T15:T21)</f>
        <v>123.11799999999999</v>
      </c>
      <c r="U24" s="28">
        <f>SUM(U15:U21)</f>
        <v>8510.4230000000007</v>
      </c>
      <c r="V24" s="25">
        <f>SUM(V15:V21)</f>
        <v>1993</v>
      </c>
      <c r="W24" s="26">
        <f>SUM(W15:W21)</f>
        <v>10349.6</v>
      </c>
      <c r="X24" s="26">
        <f>SUM(X15:X21)</f>
        <v>2947</v>
      </c>
      <c r="Y24" s="27">
        <f>SUM(V24:X24)</f>
        <v>15289.6</v>
      </c>
      <c r="Z24" s="28">
        <f>SUM(Z15:Z21)</f>
        <v>350</v>
      </c>
      <c r="AA24" s="28">
        <f>SUM(AA15:AA21)</f>
        <v>15639.6</v>
      </c>
      <c r="AB24" s="142">
        <f t="shared" si="8"/>
        <v>1.0119639980070787</v>
      </c>
      <c r="AC24" s="3"/>
      <c r="AD24" s="3"/>
    </row>
    <row r="25" spans="1:30" ht="15.75" customHeight="1" thickBot="1" x14ac:dyDescent="0.3">
      <c r="A25" s="4"/>
      <c r="B25" s="29"/>
      <c r="C25" s="30"/>
      <c r="D25" s="223" t="s">
        <v>68</v>
      </c>
      <c r="E25" s="224"/>
      <c r="F25" s="224"/>
      <c r="G25" s="225"/>
      <c r="H25" s="225"/>
      <c r="I25" s="226"/>
      <c r="J25" s="239" t="s">
        <v>68</v>
      </c>
      <c r="K25" s="240"/>
      <c r="L25" s="240"/>
      <c r="M25" s="241"/>
      <c r="N25" s="241"/>
      <c r="O25" s="242"/>
      <c r="P25" s="223" t="s">
        <v>68</v>
      </c>
      <c r="Q25" s="224"/>
      <c r="R25" s="224"/>
      <c r="S25" s="225"/>
      <c r="T25" s="225"/>
      <c r="U25" s="226"/>
      <c r="V25" s="223" t="s">
        <v>68</v>
      </c>
      <c r="W25" s="224"/>
      <c r="X25" s="224"/>
      <c r="Y25" s="225"/>
      <c r="Z25" s="225"/>
      <c r="AA25" s="226"/>
      <c r="AB25" s="266" t="s">
        <v>99</v>
      </c>
      <c r="AC25" s="3"/>
      <c r="AD25" s="3"/>
    </row>
    <row r="26" spans="1:30" ht="15.75" thickBot="1" x14ac:dyDescent="0.3">
      <c r="A26" s="4"/>
      <c r="B26" s="237" t="s">
        <v>37</v>
      </c>
      <c r="C26" s="258" t="s">
        <v>38</v>
      </c>
      <c r="D26" s="227" t="s">
        <v>69</v>
      </c>
      <c r="E26" s="228"/>
      <c r="F26" s="228"/>
      <c r="G26" s="229" t="s">
        <v>64</v>
      </c>
      <c r="H26" s="262" t="s">
        <v>67</v>
      </c>
      <c r="I26" s="264" t="s">
        <v>68</v>
      </c>
      <c r="J26" s="243" t="s">
        <v>69</v>
      </c>
      <c r="K26" s="244"/>
      <c r="L26" s="244"/>
      <c r="M26" s="245" t="s">
        <v>64</v>
      </c>
      <c r="N26" s="247" t="s">
        <v>67</v>
      </c>
      <c r="O26" s="249" t="s">
        <v>68</v>
      </c>
      <c r="P26" s="227" t="s">
        <v>69</v>
      </c>
      <c r="Q26" s="228"/>
      <c r="R26" s="228"/>
      <c r="S26" s="229" t="s">
        <v>64</v>
      </c>
      <c r="T26" s="262" t="s">
        <v>67</v>
      </c>
      <c r="U26" s="264" t="s">
        <v>68</v>
      </c>
      <c r="V26" s="227" t="s">
        <v>69</v>
      </c>
      <c r="W26" s="228"/>
      <c r="X26" s="228"/>
      <c r="Y26" s="229" t="s">
        <v>64</v>
      </c>
      <c r="Z26" s="262" t="s">
        <v>67</v>
      </c>
      <c r="AA26" s="264" t="s">
        <v>68</v>
      </c>
      <c r="AB26" s="267"/>
      <c r="AC26" s="3"/>
      <c r="AD26" s="3"/>
    </row>
    <row r="27" spans="1:30" ht="15.75" thickBot="1" x14ac:dyDescent="0.3">
      <c r="A27" s="4"/>
      <c r="B27" s="238"/>
      <c r="C27" s="259"/>
      <c r="D27" s="31" t="s">
        <v>54</v>
      </c>
      <c r="E27" s="32" t="s">
        <v>55</v>
      </c>
      <c r="F27" s="33" t="s">
        <v>56</v>
      </c>
      <c r="G27" s="230"/>
      <c r="H27" s="263"/>
      <c r="I27" s="265"/>
      <c r="J27" s="185" t="s">
        <v>54</v>
      </c>
      <c r="K27" s="186" t="s">
        <v>55</v>
      </c>
      <c r="L27" s="187" t="s">
        <v>56</v>
      </c>
      <c r="M27" s="246"/>
      <c r="N27" s="248"/>
      <c r="O27" s="250"/>
      <c r="P27" s="31" t="s">
        <v>54</v>
      </c>
      <c r="Q27" s="32" t="s">
        <v>55</v>
      </c>
      <c r="R27" s="33" t="s">
        <v>56</v>
      </c>
      <c r="S27" s="230"/>
      <c r="T27" s="263"/>
      <c r="U27" s="265"/>
      <c r="V27" s="31" t="s">
        <v>54</v>
      </c>
      <c r="W27" s="32" t="s">
        <v>55</v>
      </c>
      <c r="X27" s="33" t="s">
        <v>56</v>
      </c>
      <c r="Y27" s="230"/>
      <c r="Z27" s="263"/>
      <c r="AA27" s="265"/>
      <c r="AB27" s="268"/>
      <c r="AC27" s="3"/>
      <c r="AD27" s="3"/>
    </row>
    <row r="28" spans="1:30" x14ac:dyDescent="0.25">
      <c r="A28" s="4"/>
      <c r="B28" s="34" t="s">
        <v>19</v>
      </c>
      <c r="C28" s="35" t="s">
        <v>10</v>
      </c>
      <c r="D28" s="71"/>
      <c r="E28" s="71"/>
      <c r="F28" s="71">
        <v>738.2</v>
      </c>
      <c r="G28" s="72">
        <f>SUM(D28:F28)</f>
        <v>738.2</v>
      </c>
      <c r="H28" s="72">
        <v>186.94499999999999</v>
      </c>
      <c r="I28" s="36">
        <f>G28+H28</f>
        <v>925.14499999999998</v>
      </c>
      <c r="J28" s="196"/>
      <c r="K28" s="197"/>
      <c r="L28" s="197">
        <v>500</v>
      </c>
      <c r="M28" s="188">
        <f>SUM(J28:L28)</f>
        <v>500</v>
      </c>
      <c r="N28" s="188">
        <v>300</v>
      </c>
      <c r="O28" s="189">
        <f>M28+N28</f>
        <v>800</v>
      </c>
      <c r="P28" s="80"/>
      <c r="Q28" s="71"/>
      <c r="R28" s="71">
        <v>104.867</v>
      </c>
      <c r="S28" s="72">
        <f>SUM(P28:R28)</f>
        <v>104.867</v>
      </c>
      <c r="T28" s="72"/>
      <c r="U28" s="36">
        <f>S28+T28</f>
        <v>104.867</v>
      </c>
      <c r="V28" s="80"/>
      <c r="W28" s="71"/>
      <c r="X28" s="71">
        <v>500</v>
      </c>
      <c r="Y28" s="72">
        <f>SUM(V28:X28)</f>
        <v>500</v>
      </c>
      <c r="Z28" s="72">
        <v>300</v>
      </c>
      <c r="AA28" s="36">
        <f>Y28+Z28</f>
        <v>800</v>
      </c>
      <c r="AB28" s="138">
        <f t="shared" ref="AB28:AB41" si="12">(AA28/O28)</f>
        <v>1</v>
      </c>
      <c r="AC28" s="3"/>
      <c r="AD28" s="3"/>
    </row>
    <row r="29" spans="1:30" x14ac:dyDescent="0.25">
      <c r="A29" s="4"/>
      <c r="B29" s="14" t="s">
        <v>20</v>
      </c>
      <c r="C29" s="37" t="s">
        <v>12</v>
      </c>
      <c r="D29" s="151">
        <v>12.603999999999999</v>
      </c>
      <c r="E29" s="73">
        <f>170.424+4.6+3.504+9.682+42.444-8.999-20.692-6.8</f>
        <v>194.16299999999998</v>
      </c>
      <c r="F29" s="73">
        <f>207.851+105.434+20.507+14.842+3.933+3.509+24.025+97.822+53.963+40.917+8.9+20.692+6.9</f>
        <v>609.29499999999996</v>
      </c>
      <c r="G29" s="74">
        <f t="shared" ref="G29:G38" si="13">SUM(D29:F29)</f>
        <v>816.0619999999999</v>
      </c>
      <c r="H29" s="75"/>
      <c r="I29" s="13">
        <f t="shared" ref="I29:I38" si="14">G29+H29</f>
        <v>816.0619999999999</v>
      </c>
      <c r="J29" s="198">
        <v>34.200000000000003</v>
      </c>
      <c r="K29" s="199"/>
      <c r="L29" s="199">
        <v>500</v>
      </c>
      <c r="M29" s="190">
        <f t="shared" ref="M29:M38" si="15">SUM(J29:L29)</f>
        <v>534.20000000000005</v>
      </c>
      <c r="N29" s="191"/>
      <c r="O29" s="160">
        <f t="shared" ref="O29:O38" si="16">M29+N29</f>
        <v>534.20000000000005</v>
      </c>
      <c r="P29" s="81">
        <v>11.52</v>
      </c>
      <c r="Q29" s="73">
        <f>64.859+3.376+0.422+36</f>
        <v>104.657</v>
      </c>
      <c r="R29" s="73">
        <f>128.059+59.762+17.581+23.57+5.948+18.765+0.2+10.237+2.901+21.454</f>
        <v>288.47700000000003</v>
      </c>
      <c r="S29" s="74">
        <f t="shared" ref="S29:S38" si="17">SUM(P29:R29)</f>
        <v>404.654</v>
      </c>
      <c r="T29" s="75"/>
      <c r="U29" s="13">
        <f t="shared" ref="U29:U38" si="18">S29+T29</f>
        <v>404.654</v>
      </c>
      <c r="V29" s="81">
        <v>34</v>
      </c>
      <c r="W29" s="73"/>
      <c r="X29" s="73">
        <v>500</v>
      </c>
      <c r="Y29" s="74">
        <f t="shared" ref="Y29:Y38" si="19">SUM(V29:X29)</f>
        <v>534</v>
      </c>
      <c r="Z29" s="75"/>
      <c r="AA29" s="13">
        <f t="shared" ref="AA29:AA38" si="20">Y29+Z29</f>
        <v>534</v>
      </c>
      <c r="AB29" s="138">
        <f t="shared" si="12"/>
        <v>0.99962560838637204</v>
      </c>
      <c r="AC29" s="3"/>
      <c r="AD29" s="3"/>
    </row>
    <row r="30" spans="1:30" x14ac:dyDescent="0.25">
      <c r="A30" s="4"/>
      <c r="B30" s="14" t="s">
        <v>22</v>
      </c>
      <c r="C30" s="38" t="s">
        <v>14</v>
      </c>
      <c r="D30" s="76">
        <v>773.65200000000004</v>
      </c>
      <c r="E30" s="76"/>
      <c r="F30" s="76"/>
      <c r="G30" s="74">
        <f t="shared" si="13"/>
        <v>773.65200000000004</v>
      </c>
      <c r="H30" s="74">
        <v>69.914000000000001</v>
      </c>
      <c r="I30" s="13">
        <f t="shared" si="14"/>
        <v>843.56600000000003</v>
      </c>
      <c r="J30" s="200">
        <v>1014.6</v>
      </c>
      <c r="K30" s="201"/>
      <c r="L30" s="202">
        <v>245</v>
      </c>
      <c r="M30" s="190">
        <f t="shared" si="15"/>
        <v>1259.5999999999999</v>
      </c>
      <c r="N30" s="190">
        <v>50</v>
      </c>
      <c r="O30" s="160">
        <f t="shared" si="16"/>
        <v>1309.5999999999999</v>
      </c>
      <c r="P30" s="82">
        <v>477.5</v>
      </c>
      <c r="Q30" s="76"/>
      <c r="R30" s="76"/>
      <c r="S30" s="74">
        <f t="shared" si="17"/>
        <v>477.5</v>
      </c>
      <c r="T30" s="74">
        <v>4.4779999999999998</v>
      </c>
      <c r="U30" s="13">
        <f t="shared" si="18"/>
        <v>481.97800000000001</v>
      </c>
      <c r="V30" s="82">
        <v>1100</v>
      </c>
      <c r="W30" s="76"/>
      <c r="X30" s="76">
        <v>250</v>
      </c>
      <c r="Y30" s="74">
        <f t="shared" si="19"/>
        <v>1350</v>
      </c>
      <c r="Z30" s="74">
        <v>50</v>
      </c>
      <c r="AA30" s="13">
        <f t="shared" si="20"/>
        <v>1400</v>
      </c>
      <c r="AB30" s="138">
        <f t="shared" si="12"/>
        <v>1.0690287110568113</v>
      </c>
      <c r="AC30" s="3"/>
      <c r="AD30" s="3"/>
    </row>
    <row r="31" spans="1:30" x14ac:dyDescent="0.25">
      <c r="A31" s="4"/>
      <c r="B31" s="14" t="s">
        <v>24</v>
      </c>
      <c r="C31" s="38" t="s">
        <v>16</v>
      </c>
      <c r="D31" s="76">
        <f>570.651-65.4</f>
        <v>505.25099999999998</v>
      </c>
      <c r="E31" s="76">
        <f>0.639+7+5.273+64.678</f>
        <v>77.59</v>
      </c>
      <c r="F31" s="76">
        <f>0.136+64.814+0.42+2.85+202.326+65.4</f>
        <v>335.94600000000003</v>
      </c>
      <c r="G31" s="74">
        <f t="shared" si="13"/>
        <v>918.78700000000003</v>
      </c>
      <c r="H31" s="74"/>
      <c r="I31" s="13">
        <f t="shared" si="14"/>
        <v>918.78700000000003</v>
      </c>
      <c r="J31" s="200">
        <v>495</v>
      </c>
      <c r="K31" s="202"/>
      <c r="L31" s="202">
        <v>310</v>
      </c>
      <c r="M31" s="190">
        <f t="shared" si="15"/>
        <v>805</v>
      </c>
      <c r="N31" s="190"/>
      <c r="O31" s="160">
        <f t="shared" si="16"/>
        <v>805</v>
      </c>
      <c r="P31" s="82">
        <v>385.642</v>
      </c>
      <c r="Q31" s="76">
        <f>0.15+1.9+12.066+8.216</f>
        <v>22.332000000000001</v>
      </c>
      <c r="R31" s="76">
        <v>74.599999999999994</v>
      </c>
      <c r="S31" s="74">
        <f t="shared" si="17"/>
        <v>482.57399999999996</v>
      </c>
      <c r="T31" s="74"/>
      <c r="U31" s="13">
        <f t="shared" si="18"/>
        <v>482.57399999999996</v>
      </c>
      <c r="V31" s="82">
        <v>504.7</v>
      </c>
      <c r="W31" s="76"/>
      <c r="X31" s="76">
        <v>350</v>
      </c>
      <c r="Y31" s="74">
        <f t="shared" si="19"/>
        <v>854.7</v>
      </c>
      <c r="Z31" s="74"/>
      <c r="AA31" s="13">
        <f t="shared" si="20"/>
        <v>854.7</v>
      </c>
      <c r="AB31" s="138">
        <f t="shared" si="12"/>
        <v>1.0617391304347827</v>
      </c>
      <c r="AC31" s="3"/>
      <c r="AD31" s="3"/>
    </row>
    <row r="32" spans="1:30" x14ac:dyDescent="0.25">
      <c r="A32" s="4"/>
      <c r="B32" s="14" t="s">
        <v>26</v>
      </c>
      <c r="C32" s="38" t="s">
        <v>18</v>
      </c>
      <c r="D32" s="77">
        <f>D33+D34</f>
        <v>100</v>
      </c>
      <c r="E32" s="76">
        <f>E33+E34</f>
        <v>8350.6859999999997</v>
      </c>
      <c r="F32" s="76">
        <f>F33+F34</f>
        <v>112.298</v>
      </c>
      <c r="G32" s="74">
        <f t="shared" si="13"/>
        <v>8562.9840000000004</v>
      </c>
      <c r="H32" s="74"/>
      <c r="I32" s="13">
        <f t="shared" si="14"/>
        <v>8562.9840000000004</v>
      </c>
      <c r="J32" s="200">
        <f>J33+J34</f>
        <v>112</v>
      </c>
      <c r="K32" s="202">
        <v>7616.9</v>
      </c>
      <c r="L32" s="202">
        <v>250</v>
      </c>
      <c r="M32" s="190">
        <f t="shared" si="15"/>
        <v>7978.9</v>
      </c>
      <c r="N32" s="190"/>
      <c r="O32" s="160">
        <f t="shared" si="16"/>
        <v>7978.9</v>
      </c>
      <c r="P32" s="83"/>
      <c r="Q32" s="76">
        <f>Q33+Q34</f>
        <v>3902.0770000000002</v>
      </c>
      <c r="R32" s="76"/>
      <c r="S32" s="74">
        <f t="shared" si="17"/>
        <v>3902.0770000000002</v>
      </c>
      <c r="T32" s="74"/>
      <c r="U32" s="13">
        <f t="shared" si="18"/>
        <v>3902.0770000000002</v>
      </c>
      <c r="V32" s="83">
        <f>V33+V34</f>
        <v>112</v>
      </c>
      <c r="W32" s="76">
        <f>W33+W34</f>
        <v>7616.9</v>
      </c>
      <c r="X32" s="76">
        <v>250</v>
      </c>
      <c r="Y32" s="74">
        <f t="shared" si="19"/>
        <v>7978.9</v>
      </c>
      <c r="Z32" s="74"/>
      <c r="AA32" s="13">
        <f t="shared" si="20"/>
        <v>7978.9</v>
      </c>
      <c r="AB32" s="138">
        <f t="shared" si="12"/>
        <v>1</v>
      </c>
      <c r="AC32" s="3"/>
      <c r="AD32" s="3"/>
    </row>
    <row r="33" spans="1:30" x14ac:dyDescent="0.25">
      <c r="A33" s="4"/>
      <c r="B33" s="14" t="s">
        <v>28</v>
      </c>
      <c r="C33" s="39" t="s">
        <v>42</v>
      </c>
      <c r="D33" s="77">
        <v>100</v>
      </c>
      <c r="E33" s="76">
        <f>7058.773+53.613</f>
        <v>7112.3860000000004</v>
      </c>
      <c r="F33" s="76">
        <f>64.746+0.262</f>
        <v>65.007999999999996</v>
      </c>
      <c r="G33" s="74">
        <f t="shared" si="13"/>
        <v>7277.3940000000002</v>
      </c>
      <c r="H33" s="74"/>
      <c r="I33" s="13">
        <f t="shared" si="14"/>
        <v>7277.3940000000002</v>
      </c>
      <c r="J33" s="200"/>
      <c r="K33" s="202">
        <v>7166.9</v>
      </c>
      <c r="L33" s="202">
        <v>150</v>
      </c>
      <c r="M33" s="190">
        <f t="shared" si="15"/>
        <v>7316.9</v>
      </c>
      <c r="N33" s="190"/>
      <c r="O33" s="160">
        <f t="shared" si="16"/>
        <v>7316.9</v>
      </c>
      <c r="P33" s="83"/>
      <c r="Q33" s="76">
        <f>3312.409+12.043</f>
        <v>3324.4520000000002</v>
      </c>
      <c r="R33" s="76"/>
      <c r="S33" s="74">
        <f t="shared" si="17"/>
        <v>3324.4520000000002</v>
      </c>
      <c r="T33" s="74"/>
      <c r="U33" s="13">
        <f t="shared" si="18"/>
        <v>3324.4520000000002</v>
      </c>
      <c r="V33" s="83">
        <v>100</v>
      </c>
      <c r="W33" s="76">
        <v>7166.9</v>
      </c>
      <c r="X33" s="76">
        <v>150</v>
      </c>
      <c r="Y33" s="74">
        <f t="shared" si="19"/>
        <v>7416.9</v>
      </c>
      <c r="Z33" s="74"/>
      <c r="AA33" s="13">
        <f t="shared" si="20"/>
        <v>7416.9</v>
      </c>
      <c r="AB33" s="138">
        <f t="shared" si="12"/>
        <v>1.013666990118766</v>
      </c>
      <c r="AC33" s="3"/>
      <c r="AD33" s="3"/>
    </row>
    <row r="34" spans="1:30" x14ac:dyDescent="0.25">
      <c r="A34" s="4"/>
      <c r="B34" s="14" t="s">
        <v>30</v>
      </c>
      <c r="C34" s="40" t="s">
        <v>21</v>
      </c>
      <c r="D34" s="77"/>
      <c r="E34" s="76">
        <f>1113+144.1-18.8</f>
        <v>1238.3</v>
      </c>
      <c r="F34" s="76">
        <f>28.49+18.8</f>
        <v>47.29</v>
      </c>
      <c r="G34" s="74">
        <f t="shared" si="13"/>
        <v>1285.5899999999999</v>
      </c>
      <c r="H34" s="74"/>
      <c r="I34" s="13">
        <f t="shared" si="14"/>
        <v>1285.5899999999999</v>
      </c>
      <c r="J34" s="200">
        <v>112</v>
      </c>
      <c r="K34" s="202">
        <v>450</v>
      </c>
      <c r="L34" s="202">
        <v>100</v>
      </c>
      <c r="M34" s="190">
        <f>SUM(J34:L34)</f>
        <v>662</v>
      </c>
      <c r="N34" s="190"/>
      <c r="O34" s="160">
        <f t="shared" si="16"/>
        <v>662</v>
      </c>
      <c r="P34" s="83"/>
      <c r="Q34" s="76">
        <f>531.205+46.42</f>
        <v>577.625</v>
      </c>
      <c r="R34" s="76"/>
      <c r="S34" s="74">
        <f t="shared" si="17"/>
        <v>577.625</v>
      </c>
      <c r="T34" s="74"/>
      <c r="U34" s="13">
        <f t="shared" si="18"/>
        <v>577.625</v>
      </c>
      <c r="V34" s="83">
        <v>12</v>
      </c>
      <c r="W34" s="76">
        <v>450</v>
      </c>
      <c r="X34" s="76">
        <v>100</v>
      </c>
      <c r="Y34" s="74">
        <f t="shared" si="19"/>
        <v>562</v>
      </c>
      <c r="Z34" s="74"/>
      <c r="AA34" s="13">
        <f t="shared" si="20"/>
        <v>562</v>
      </c>
      <c r="AB34" s="138">
        <f t="shared" si="12"/>
        <v>0.84894259818731121</v>
      </c>
      <c r="AC34" s="3"/>
      <c r="AD34" s="3"/>
    </row>
    <row r="35" spans="1:30" x14ac:dyDescent="0.25">
      <c r="A35" s="4"/>
      <c r="B35" s="14" t="s">
        <v>32</v>
      </c>
      <c r="C35" s="38" t="s">
        <v>23</v>
      </c>
      <c r="D35" s="77">
        <f>34+0.42</f>
        <v>34.42</v>
      </c>
      <c r="E35" s="76">
        <f>1920.473+691.853+32.686</f>
        <v>2645.0120000000002</v>
      </c>
      <c r="F35" s="76">
        <f>12.127+9.566</f>
        <v>21.693000000000001</v>
      </c>
      <c r="G35" s="74">
        <f>SUM(D35:F35)</f>
        <v>2701.1250000000005</v>
      </c>
      <c r="H35" s="74"/>
      <c r="I35" s="13">
        <f t="shared" si="14"/>
        <v>2701.1250000000005</v>
      </c>
      <c r="J35" s="200">
        <v>35</v>
      </c>
      <c r="K35" s="202">
        <v>2560</v>
      </c>
      <c r="L35" s="202">
        <v>54</v>
      </c>
      <c r="M35" s="190">
        <f t="shared" si="15"/>
        <v>2649</v>
      </c>
      <c r="N35" s="190"/>
      <c r="O35" s="160">
        <f t="shared" si="16"/>
        <v>2649</v>
      </c>
      <c r="P35" s="83"/>
      <c r="Q35" s="76">
        <f>1190.917+14.802</f>
        <v>1205.7189999999998</v>
      </c>
      <c r="R35" s="76"/>
      <c r="S35" s="74">
        <f t="shared" si="17"/>
        <v>1205.7189999999998</v>
      </c>
      <c r="T35" s="74"/>
      <c r="U35" s="13">
        <f t="shared" si="18"/>
        <v>1205.7189999999998</v>
      </c>
      <c r="V35" s="83">
        <v>37</v>
      </c>
      <c r="W35" s="76">
        <v>2560</v>
      </c>
      <c r="X35" s="76">
        <v>54</v>
      </c>
      <c r="Y35" s="74">
        <f t="shared" si="19"/>
        <v>2651</v>
      </c>
      <c r="Z35" s="74"/>
      <c r="AA35" s="13">
        <f t="shared" si="20"/>
        <v>2651</v>
      </c>
      <c r="AB35" s="138">
        <f t="shared" si="12"/>
        <v>1.0007550018875047</v>
      </c>
      <c r="AC35" s="3"/>
      <c r="AD35" s="3"/>
    </row>
    <row r="36" spans="1:30" x14ac:dyDescent="0.25">
      <c r="A36" s="4"/>
      <c r="B36" s="14" t="s">
        <v>33</v>
      </c>
      <c r="C36" s="38" t="s">
        <v>25</v>
      </c>
      <c r="D36" s="76"/>
      <c r="E36" s="76"/>
      <c r="F36" s="76">
        <v>35.15</v>
      </c>
      <c r="G36" s="74">
        <f>SUM(D36:F36)</f>
        <v>35.15</v>
      </c>
      <c r="H36" s="74"/>
      <c r="I36" s="13">
        <f t="shared" si="14"/>
        <v>35.15</v>
      </c>
      <c r="J36" s="200"/>
      <c r="K36" s="202"/>
      <c r="L36" s="202">
        <v>10</v>
      </c>
      <c r="M36" s="190">
        <f t="shared" si="15"/>
        <v>10</v>
      </c>
      <c r="N36" s="190"/>
      <c r="O36" s="160">
        <f t="shared" si="16"/>
        <v>10</v>
      </c>
      <c r="P36" s="82"/>
      <c r="Q36" s="76"/>
      <c r="R36" s="76">
        <v>10.122</v>
      </c>
      <c r="S36" s="74">
        <f>SUM(P36:R36)</f>
        <v>10.122</v>
      </c>
      <c r="T36" s="74"/>
      <c r="U36" s="13">
        <f t="shared" si="18"/>
        <v>10.122</v>
      </c>
      <c r="V36" s="82"/>
      <c r="W36" s="76"/>
      <c r="X36" s="76">
        <v>10</v>
      </c>
      <c r="Y36" s="74">
        <f t="shared" si="19"/>
        <v>10</v>
      </c>
      <c r="Z36" s="74"/>
      <c r="AA36" s="13">
        <f t="shared" si="20"/>
        <v>10</v>
      </c>
      <c r="AB36" s="138">
        <f t="shared" si="12"/>
        <v>1</v>
      </c>
      <c r="AC36" s="3"/>
      <c r="AD36" s="3"/>
    </row>
    <row r="37" spans="1:30" x14ac:dyDescent="0.25">
      <c r="A37" s="4"/>
      <c r="B37" s="14" t="s">
        <v>34</v>
      </c>
      <c r="C37" s="38" t="s">
        <v>27</v>
      </c>
      <c r="D37" s="76">
        <v>205.33199999999999</v>
      </c>
      <c r="E37" s="76"/>
      <c r="F37" s="76">
        <v>429.005</v>
      </c>
      <c r="G37" s="74">
        <f t="shared" si="13"/>
        <v>634.33699999999999</v>
      </c>
      <c r="H37" s="74"/>
      <c r="I37" s="13">
        <f t="shared" si="14"/>
        <v>634.33699999999999</v>
      </c>
      <c r="J37" s="200">
        <v>205.3</v>
      </c>
      <c r="K37" s="202"/>
      <c r="L37" s="202">
        <v>429</v>
      </c>
      <c r="M37" s="190">
        <f t="shared" si="15"/>
        <v>634.29999999999995</v>
      </c>
      <c r="N37" s="190"/>
      <c r="O37" s="160">
        <f t="shared" si="16"/>
        <v>634.29999999999995</v>
      </c>
      <c r="P37" s="82">
        <v>102.666</v>
      </c>
      <c r="Q37" s="76"/>
      <c r="R37" s="76">
        <v>215.828</v>
      </c>
      <c r="S37" s="74">
        <f t="shared" si="17"/>
        <v>318.49400000000003</v>
      </c>
      <c r="T37" s="74"/>
      <c r="U37" s="13">
        <f t="shared" si="18"/>
        <v>318.49400000000003</v>
      </c>
      <c r="V37" s="82">
        <v>205.3</v>
      </c>
      <c r="W37" s="76"/>
      <c r="X37" s="76">
        <v>437.57900000000001</v>
      </c>
      <c r="Y37" s="74">
        <f t="shared" si="19"/>
        <v>642.87900000000002</v>
      </c>
      <c r="Z37" s="74"/>
      <c r="AA37" s="13">
        <f t="shared" si="20"/>
        <v>642.87900000000002</v>
      </c>
      <c r="AB37" s="138">
        <f t="shared" si="12"/>
        <v>1.0135251458300489</v>
      </c>
      <c r="AC37" s="3"/>
      <c r="AD37" s="3"/>
    </row>
    <row r="38" spans="1:30" ht="15.75" thickBot="1" x14ac:dyDescent="0.3">
      <c r="A38" s="4"/>
      <c r="B38" s="19" t="s">
        <v>35</v>
      </c>
      <c r="C38" s="102" t="s">
        <v>29</v>
      </c>
      <c r="D38" s="152">
        <v>2</v>
      </c>
      <c r="E38" s="152">
        <f>0.21+142.247+12.9+10.6+71.6-2.814-4.779</f>
        <v>229.96400000000003</v>
      </c>
      <c r="F38" s="78">
        <f>580.862+4.779+2.814</f>
        <v>588.45499999999993</v>
      </c>
      <c r="G38" s="74">
        <f t="shared" si="13"/>
        <v>820.41899999999998</v>
      </c>
      <c r="H38" s="79"/>
      <c r="I38" s="22">
        <f t="shared" si="14"/>
        <v>820.41899999999998</v>
      </c>
      <c r="J38" s="203">
        <v>2</v>
      </c>
      <c r="K38" s="204">
        <v>172.7</v>
      </c>
      <c r="L38" s="204">
        <v>559</v>
      </c>
      <c r="M38" s="192">
        <f t="shared" si="15"/>
        <v>733.7</v>
      </c>
      <c r="N38" s="192"/>
      <c r="O38" s="180">
        <f t="shared" si="16"/>
        <v>733.7</v>
      </c>
      <c r="P38" s="84"/>
      <c r="Q38" s="78">
        <v>66.989000000000004</v>
      </c>
      <c r="R38" s="78">
        <f>2.752+16.627+94.604+3.874</f>
        <v>117.857</v>
      </c>
      <c r="S38" s="79">
        <f t="shared" si="17"/>
        <v>184.846</v>
      </c>
      <c r="T38" s="79"/>
      <c r="U38" s="22">
        <f t="shared" si="18"/>
        <v>184.846</v>
      </c>
      <c r="V38" s="84"/>
      <c r="W38" s="78">
        <v>172.7</v>
      </c>
      <c r="X38" s="78">
        <v>595.4</v>
      </c>
      <c r="Y38" s="79">
        <f t="shared" si="19"/>
        <v>768.09999999999991</v>
      </c>
      <c r="Z38" s="79"/>
      <c r="AA38" s="22">
        <f t="shared" si="20"/>
        <v>768.09999999999991</v>
      </c>
      <c r="AB38" s="141">
        <f t="shared" si="12"/>
        <v>1.0468856480850481</v>
      </c>
      <c r="AC38" s="3"/>
      <c r="AD38" s="3"/>
    </row>
    <row r="39" spans="1:30" ht="15.75" thickBot="1" x14ac:dyDescent="0.3">
      <c r="A39" s="4"/>
      <c r="B39" s="23" t="s">
        <v>48</v>
      </c>
      <c r="C39" s="103" t="s">
        <v>31</v>
      </c>
      <c r="D39" s="41">
        <f>SUM(D35:D38)+SUM(D28:D32)</f>
        <v>1633.259</v>
      </c>
      <c r="E39" s="41">
        <f>SUM(E35:E38)+SUM(E28:E32)</f>
        <v>11497.415000000001</v>
      </c>
      <c r="F39" s="41">
        <f>SUM(F35:F38)+SUM(F28:F32)</f>
        <v>2870.0419999999995</v>
      </c>
      <c r="G39" s="137">
        <f>SUM(D39:F39)</f>
        <v>16000.716</v>
      </c>
      <c r="H39" s="42">
        <f>SUM(H28:H32)+SUM(H35:H38)</f>
        <v>256.85899999999998</v>
      </c>
      <c r="I39" s="43">
        <f>SUM(I35:I38)+SUM(I28:I32)</f>
        <v>16257.575000000003</v>
      </c>
      <c r="J39" s="205">
        <f>SUM(J35:J38)+SUM(J28:J32)</f>
        <v>1898.1</v>
      </c>
      <c r="K39" s="205">
        <f>SUM(K35:K38)+SUM(K28:K32)</f>
        <v>10349.599999999999</v>
      </c>
      <c r="L39" s="205">
        <f>SUM(L35:L38)+SUM(L28:L32)</f>
        <v>2857</v>
      </c>
      <c r="M39" s="193">
        <f>SUM(J39:L39)</f>
        <v>15104.699999999999</v>
      </c>
      <c r="N39" s="194">
        <f>SUM(N28:N32)+SUM(N35:N38)</f>
        <v>350</v>
      </c>
      <c r="O39" s="195">
        <f>SUM(O35:O38)+SUM(O28:O32)</f>
        <v>15454.7</v>
      </c>
      <c r="P39" s="41">
        <f>SUM(P35:P38)+SUM(P28:P32)</f>
        <v>977.32799999999997</v>
      </c>
      <c r="Q39" s="41">
        <f>SUM(Q35:Q38)+SUM(Q28:Q32)</f>
        <v>5301.7740000000003</v>
      </c>
      <c r="R39" s="41">
        <f>SUM(R35:R38)+SUM(R28:R32)</f>
        <v>811.75100000000009</v>
      </c>
      <c r="S39" s="137">
        <f>SUM(P39:R39)</f>
        <v>7090.853000000001</v>
      </c>
      <c r="T39" s="42">
        <f>SUM(T28:T32)+SUM(T35:T38)</f>
        <v>4.4779999999999998</v>
      </c>
      <c r="U39" s="43">
        <f>SUM(U35:U38)+SUM(U28:U32)</f>
        <v>7095.3310000000001</v>
      </c>
      <c r="V39" s="41">
        <f>SUM(V35:V38)+SUM(V28:V32)</f>
        <v>1993</v>
      </c>
      <c r="W39" s="41">
        <f>SUM(W35:W38)+SUM(W28:W32)</f>
        <v>10349.599999999999</v>
      </c>
      <c r="X39" s="41">
        <f>SUM(X35:X38)+SUM(X28:X32)</f>
        <v>2946.9790000000003</v>
      </c>
      <c r="Y39" s="137">
        <f>SUM(V39:X39)</f>
        <v>15289.578999999998</v>
      </c>
      <c r="Z39" s="42">
        <f>SUM(Z28:Z32)+SUM(Z35:Z38)</f>
        <v>350</v>
      </c>
      <c r="AA39" s="43">
        <f>SUM(AA35:AA38)+SUM(AA28:AA32)</f>
        <v>15639.578999999998</v>
      </c>
      <c r="AB39" s="143">
        <f t="shared" si="12"/>
        <v>1.0119626391971372</v>
      </c>
      <c r="AC39" s="3"/>
      <c r="AD39" s="3"/>
    </row>
    <row r="40" spans="1:30" ht="19.5" thickBot="1" x14ac:dyDescent="0.35">
      <c r="A40" s="4"/>
      <c r="B40" s="107" t="s">
        <v>49</v>
      </c>
      <c r="C40" s="108" t="s">
        <v>51</v>
      </c>
      <c r="D40" s="109">
        <f t="shared" ref="D40:O40" si="21">D24-D39</f>
        <v>-5.9999999998581188E-3</v>
      </c>
      <c r="E40" s="109">
        <f t="shared" si="21"/>
        <v>1.8999999998413841E-2</v>
      </c>
      <c r="F40" s="109">
        <f t="shared" si="21"/>
        <v>2.7180000000007567</v>
      </c>
      <c r="G40" s="118">
        <f t="shared" si="21"/>
        <v>2.7309999999997672</v>
      </c>
      <c r="H40" s="118">
        <f t="shared" si="21"/>
        <v>17.120000000000005</v>
      </c>
      <c r="I40" s="119">
        <f t="shared" si="21"/>
        <v>19.85099999999693</v>
      </c>
      <c r="J40" s="109">
        <f t="shared" si="21"/>
        <v>0</v>
      </c>
      <c r="K40" s="109">
        <f t="shared" si="21"/>
        <v>0</v>
      </c>
      <c r="L40" s="109">
        <f t="shared" si="21"/>
        <v>0</v>
      </c>
      <c r="M40" s="153">
        <f t="shared" si="21"/>
        <v>0</v>
      </c>
      <c r="N40" s="153">
        <f t="shared" si="21"/>
        <v>0</v>
      </c>
      <c r="O40" s="154">
        <f t="shared" si="21"/>
        <v>0</v>
      </c>
      <c r="P40" s="109">
        <f t="shared" ref="P40:U40" si="22">P24-P39</f>
        <v>-119.82799999999997</v>
      </c>
      <c r="Q40" s="109">
        <f t="shared" si="22"/>
        <v>268.57200000000012</v>
      </c>
      <c r="R40" s="109">
        <f t="shared" si="22"/>
        <v>1147.703</v>
      </c>
      <c r="S40" s="118">
        <f t="shared" si="22"/>
        <v>1296.4470000000001</v>
      </c>
      <c r="T40" s="118">
        <f t="shared" si="22"/>
        <v>118.64</v>
      </c>
      <c r="U40" s="119">
        <f t="shared" si="22"/>
        <v>1415.0920000000006</v>
      </c>
      <c r="V40" s="109">
        <f t="shared" ref="V40:AA40" si="23">V24-V39</f>
        <v>0</v>
      </c>
      <c r="W40" s="109">
        <f t="shared" si="23"/>
        <v>0</v>
      </c>
      <c r="X40" s="109">
        <f t="shared" si="23"/>
        <v>2.099999999973079E-2</v>
      </c>
      <c r="Y40" s="118">
        <f t="shared" si="23"/>
        <v>2.1000000002459274E-2</v>
      </c>
      <c r="Z40" s="118">
        <f t="shared" si="23"/>
        <v>0</v>
      </c>
      <c r="AA40" s="119">
        <f t="shared" si="23"/>
        <v>2.1000000002459274E-2</v>
      </c>
      <c r="AB40" s="144" t="e">
        <f t="shared" si="12"/>
        <v>#DIV/0!</v>
      </c>
      <c r="AC40" s="3"/>
      <c r="AD40" s="3"/>
    </row>
    <row r="41" spans="1:30" ht="15.75" thickBot="1" x14ac:dyDescent="0.3">
      <c r="A41" s="4"/>
      <c r="B41" s="110" t="s">
        <v>50</v>
      </c>
      <c r="C41" s="111" t="s">
        <v>65</v>
      </c>
      <c r="D41" s="112"/>
      <c r="E41" s="113"/>
      <c r="F41" s="113"/>
      <c r="G41" s="114"/>
      <c r="H41" s="115"/>
      <c r="I41" s="116">
        <f>I40-D16</f>
        <v>-1290.1490000000031</v>
      </c>
      <c r="J41" s="112"/>
      <c r="K41" s="113"/>
      <c r="L41" s="113"/>
      <c r="M41" s="114"/>
      <c r="N41" s="117"/>
      <c r="O41" s="116">
        <f>O40-J16</f>
        <v>-1714.9</v>
      </c>
      <c r="P41" s="112"/>
      <c r="Q41" s="113"/>
      <c r="R41" s="113"/>
      <c r="S41" s="114"/>
      <c r="T41" s="117"/>
      <c r="U41" s="116">
        <f>U40-P16</f>
        <v>557.59200000000055</v>
      </c>
      <c r="V41" s="112"/>
      <c r="W41" s="113"/>
      <c r="X41" s="113"/>
      <c r="Y41" s="114"/>
      <c r="Z41" s="117"/>
      <c r="AA41" s="116">
        <f>AA40-V16</f>
        <v>-1809.9789999999975</v>
      </c>
      <c r="AB41" s="138">
        <f t="shared" si="12"/>
        <v>1.0554428829669353</v>
      </c>
      <c r="AC41" s="3"/>
      <c r="AD41" s="3"/>
    </row>
    <row r="42" spans="1:30" s="122" customFormat="1" ht="8.25" customHeight="1" thickBot="1" x14ac:dyDescent="0.3">
      <c r="A42" s="88"/>
      <c r="B42" s="89"/>
      <c r="C42" s="47"/>
      <c r="D42" s="90"/>
      <c r="E42" s="48"/>
      <c r="F42" s="48"/>
      <c r="G42" s="88"/>
      <c r="H42" s="48"/>
      <c r="I42" s="48"/>
      <c r="J42" s="90"/>
      <c r="K42" s="48"/>
      <c r="L42" s="48"/>
      <c r="M42" s="88"/>
      <c r="N42" s="48"/>
      <c r="O42" s="48"/>
      <c r="P42" s="48"/>
      <c r="Q42" s="48"/>
      <c r="R42" s="48"/>
      <c r="S42" s="48"/>
      <c r="T42" s="48"/>
      <c r="U42" s="48"/>
      <c r="V42" s="91"/>
      <c r="W42" s="91"/>
      <c r="X42" s="91"/>
      <c r="Y42" s="91"/>
      <c r="Z42" s="91"/>
      <c r="AA42" s="91"/>
      <c r="AB42" s="91"/>
      <c r="AC42" s="91"/>
      <c r="AD42" s="91"/>
    </row>
    <row r="43" spans="1:30" s="122" customFormat="1" ht="15.75" customHeight="1" thickBot="1" x14ac:dyDescent="0.3">
      <c r="A43" s="88"/>
      <c r="B43" s="92"/>
      <c r="C43" s="255" t="s">
        <v>83</v>
      </c>
      <c r="D43" s="106" t="s">
        <v>41</v>
      </c>
      <c r="E43" s="44" t="s">
        <v>84</v>
      </c>
      <c r="F43" s="45" t="s">
        <v>36</v>
      </c>
      <c r="G43" s="48"/>
      <c r="H43" s="48"/>
      <c r="I43" s="49"/>
      <c r="J43" s="106" t="s">
        <v>41</v>
      </c>
      <c r="K43" s="44" t="s">
        <v>84</v>
      </c>
      <c r="L43" s="45" t="s">
        <v>36</v>
      </c>
      <c r="M43" s="48"/>
      <c r="N43" s="48"/>
      <c r="O43" s="48"/>
      <c r="P43" s="106" t="s">
        <v>41</v>
      </c>
      <c r="Q43" s="44" t="s">
        <v>84</v>
      </c>
      <c r="R43" s="45" t="s">
        <v>36</v>
      </c>
      <c r="S43" s="91"/>
      <c r="T43" s="91"/>
      <c r="U43" s="91"/>
      <c r="V43" s="106" t="s">
        <v>41</v>
      </c>
      <c r="W43" s="44" t="s">
        <v>84</v>
      </c>
      <c r="X43" s="45" t="s">
        <v>36</v>
      </c>
      <c r="Y43" s="91"/>
      <c r="Z43" s="91"/>
      <c r="AA43" s="91"/>
      <c r="AB43" s="91"/>
      <c r="AC43" s="91"/>
      <c r="AD43" s="91"/>
    </row>
    <row r="44" spans="1:30" ht="15.75" thickBot="1" x14ac:dyDescent="0.3">
      <c r="A44" s="4"/>
      <c r="B44" s="92"/>
      <c r="C44" s="256"/>
      <c r="D44" s="94">
        <v>205.3</v>
      </c>
      <c r="E44" s="104">
        <v>205.3</v>
      </c>
      <c r="F44" s="105">
        <v>0</v>
      </c>
      <c r="G44" s="48"/>
      <c r="H44" s="48"/>
      <c r="I44" s="49"/>
      <c r="J44" s="94">
        <v>205.3</v>
      </c>
      <c r="K44" s="104">
        <v>205.3</v>
      </c>
      <c r="L44" s="105">
        <v>0</v>
      </c>
      <c r="M44" s="93"/>
      <c r="N44" s="93"/>
      <c r="O44" s="93"/>
      <c r="P44" s="94">
        <v>0</v>
      </c>
      <c r="Q44" s="104">
        <v>0</v>
      </c>
      <c r="R44" s="105">
        <v>0</v>
      </c>
      <c r="S44" s="3"/>
      <c r="T44" s="3"/>
      <c r="U44" s="3"/>
      <c r="V44" s="94">
        <v>205.3</v>
      </c>
      <c r="W44" s="104">
        <v>205.33199999999999</v>
      </c>
      <c r="X44" s="105">
        <v>0</v>
      </c>
      <c r="Y44" s="3"/>
      <c r="Z44" s="3"/>
      <c r="AA44" s="3"/>
      <c r="AB44" s="3"/>
      <c r="AC44" s="3"/>
      <c r="AD44" s="3"/>
    </row>
    <row r="45" spans="1:30" s="122" customFormat="1" ht="8.25" customHeight="1" thickBot="1" x14ac:dyDescent="0.3">
      <c r="A45" s="88"/>
      <c r="B45" s="92"/>
      <c r="C45" s="47"/>
      <c r="D45" s="93"/>
      <c r="E45" s="48"/>
      <c r="F45" s="48"/>
      <c r="G45" s="48"/>
      <c r="H45" s="48"/>
      <c r="I45" s="49"/>
      <c r="J45" s="48"/>
      <c r="K45" s="48"/>
      <c r="L45" s="48"/>
      <c r="M45" s="48"/>
      <c r="N45" s="48"/>
      <c r="O45" s="49"/>
      <c r="P45" s="49"/>
      <c r="Q45" s="49"/>
      <c r="R45" s="49"/>
      <c r="S45" s="49"/>
      <c r="T45" s="49"/>
      <c r="U45" s="49"/>
      <c r="V45" s="91"/>
      <c r="W45" s="91"/>
      <c r="X45" s="91"/>
      <c r="Y45" s="91"/>
      <c r="Z45" s="91"/>
      <c r="AA45" s="91"/>
      <c r="AB45" s="91"/>
      <c r="AC45" s="91"/>
      <c r="AD45" s="91"/>
    </row>
    <row r="46" spans="1:30" s="122" customFormat="1" ht="37.5" customHeight="1" thickBot="1" x14ac:dyDescent="0.3">
      <c r="A46" s="88"/>
      <c r="B46" s="92"/>
      <c r="C46" s="255" t="s">
        <v>86</v>
      </c>
      <c r="D46" s="95" t="s">
        <v>87</v>
      </c>
      <c r="E46" s="96" t="s">
        <v>85</v>
      </c>
      <c r="F46" s="48"/>
      <c r="G46" s="48"/>
      <c r="H46" s="48"/>
      <c r="I46" s="49"/>
      <c r="J46" s="95" t="s">
        <v>87</v>
      </c>
      <c r="K46" s="96" t="s">
        <v>85</v>
      </c>
      <c r="L46" s="139"/>
      <c r="M46" s="139"/>
      <c r="N46" s="91"/>
      <c r="O46" s="91"/>
      <c r="P46" s="95" t="s">
        <v>87</v>
      </c>
      <c r="Q46" s="96" t="s">
        <v>85</v>
      </c>
      <c r="R46" s="91"/>
      <c r="S46" s="91"/>
      <c r="T46" s="91"/>
      <c r="U46" s="91"/>
      <c r="V46" s="95" t="s">
        <v>87</v>
      </c>
      <c r="W46" s="96" t="s">
        <v>85</v>
      </c>
      <c r="X46" s="91"/>
      <c r="Y46" s="91"/>
      <c r="Z46" s="91"/>
      <c r="AA46" s="91"/>
      <c r="AB46" s="91"/>
      <c r="AC46" s="91"/>
      <c r="AD46" s="91"/>
    </row>
    <row r="47" spans="1:30" ht="15.75" thickBot="1" x14ac:dyDescent="0.3">
      <c r="A47" s="4"/>
      <c r="B47" s="46"/>
      <c r="C47" s="257"/>
      <c r="D47" s="94">
        <v>0</v>
      </c>
      <c r="E47" s="97">
        <v>0</v>
      </c>
      <c r="F47" s="48"/>
      <c r="G47" s="48"/>
      <c r="H47" s="48"/>
      <c r="I47" s="49"/>
      <c r="J47" s="94">
        <v>0</v>
      </c>
      <c r="K47" s="97">
        <v>0</v>
      </c>
      <c r="L47" s="140"/>
      <c r="M47" s="140"/>
      <c r="N47" s="3"/>
      <c r="O47" s="3"/>
      <c r="P47" s="94">
        <v>0</v>
      </c>
      <c r="Q47" s="97">
        <v>0</v>
      </c>
      <c r="R47" s="3"/>
      <c r="S47" s="3"/>
      <c r="T47" s="3"/>
      <c r="U47" s="3"/>
      <c r="V47" s="94">
        <v>0</v>
      </c>
      <c r="W47" s="97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4"/>
      <c r="B48" s="46"/>
      <c r="C48" s="47"/>
      <c r="D48" s="48"/>
      <c r="E48" s="48"/>
      <c r="F48" s="48"/>
      <c r="G48" s="48"/>
      <c r="H48" s="48"/>
      <c r="I48" s="49"/>
      <c r="J48" s="48"/>
      <c r="K48" s="48"/>
      <c r="L48" s="48"/>
      <c r="M48" s="48"/>
      <c r="N48" s="48"/>
      <c r="O48" s="49"/>
      <c r="P48" s="49"/>
      <c r="Q48" s="49"/>
      <c r="R48" s="49"/>
      <c r="S48" s="49"/>
      <c r="T48" s="49"/>
      <c r="U48" s="49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4"/>
      <c r="B49" s="46"/>
      <c r="C49" s="98" t="s">
        <v>82</v>
      </c>
      <c r="D49" s="99" t="s">
        <v>73</v>
      </c>
      <c r="E49" s="99" t="s">
        <v>74</v>
      </c>
      <c r="F49" s="99" t="s">
        <v>91</v>
      </c>
      <c r="G49" s="99" t="s">
        <v>93</v>
      </c>
      <c r="H49" s="48"/>
      <c r="I49" s="3"/>
      <c r="J49" s="99" t="s">
        <v>73</v>
      </c>
      <c r="K49" s="99" t="s">
        <v>74</v>
      </c>
      <c r="L49" s="99" t="s">
        <v>91</v>
      </c>
      <c r="M49" s="99" t="s">
        <v>94</v>
      </c>
      <c r="N49" s="3"/>
      <c r="O49" s="3"/>
      <c r="P49" s="99" t="s">
        <v>73</v>
      </c>
      <c r="Q49" s="99" t="s">
        <v>74</v>
      </c>
      <c r="R49" s="99" t="s">
        <v>91</v>
      </c>
      <c r="S49" s="99" t="s">
        <v>94</v>
      </c>
      <c r="T49" s="3"/>
      <c r="U49" s="3"/>
      <c r="V49" s="99" t="s">
        <v>95</v>
      </c>
      <c r="W49" s="99" t="s">
        <v>74</v>
      </c>
      <c r="X49" s="99" t="s">
        <v>91</v>
      </c>
      <c r="Y49" s="99" t="s">
        <v>94</v>
      </c>
      <c r="Z49" s="3"/>
      <c r="AA49" s="3"/>
      <c r="AB49" s="3"/>
      <c r="AC49" s="3"/>
      <c r="AD49" s="3"/>
    </row>
    <row r="50" spans="1:30" x14ac:dyDescent="0.25">
      <c r="A50" s="4"/>
      <c r="B50" s="46"/>
      <c r="C50" s="50" t="s">
        <v>70</v>
      </c>
      <c r="D50" s="85">
        <f>SUM(D51:D54)</f>
        <v>2377.15</v>
      </c>
      <c r="E50" s="85">
        <f t="shared" ref="E50:G50" si="24">SUM(E51:E54)</f>
        <v>1014.6080000000001</v>
      </c>
      <c r="F50" s="85">
        <f t="shared" si="24"/>
        <v>1642.655</v>
      </c>
      <c r="G50" s="85">
        <f t="shared" si="24"/>
        <v>1749.1030000000001</v>
      </c>
      <c r="H50" s="48"/>
      <c r="I50" s="3"/>
      <c r="J50" s="51">
        <v>1692.5</v>
      </c>
      <c r="K50" s="85">
        <v>507.4</v>
      </c>
      <c r="L50" s="85">
        <v>285.3</v>
      </c>
      <c r="M50" s="51">
        <f>J50+K50-L50</f>
        <v>1914.6000000000001</v>
      </c>
      <c r="N50" s="3"/>
      <c r="O50" s="3"/>
      <c r="P50" s="85">
        <f>SUM(P51:P54)</f>
        <v>1749.1</v>
      </c>
      <c r="Q50" s="85">
        <f t="shared" ref="Q50:S50" si="25">SUM(Q51:Q54)</f>
        <v>843.904</v>
      </c>
      <c r="R50" s="85">
        <f t="shared" si="25"/>
        <v>709.72500000000002</v>
      </c>
      <c r="S50" s="85">
        <f t="shared" si="25"/>
        <v>1883.2789999999995</v>
      </c>
      <c r="T50" s="3"/>
      <c r="U50" s="3"/>
      <c r="V50" s="85">
        <f>V51+V52+V53+V54</f>
        <v>1531.127</v>
      </c>
      <c r="W50" s="85">
        <f t="shared" ref="W50:Y50" si="26">W51+W52+W53+W54</f>
        <v>577.4</v>
      </c>
      <c r="X50" s="85">
        <f t="shared" si="26"/>
        <v>305.3</v>
      </c>
      <c r="Y50" s="85">
        <f t="shared" si="26"/>
        <v>1803.2270000000001</v>
      </c>
      <c r="Z50" s="3"/>
      <c r="AA50" s="3"/>
      <c r="AB50" s="3"/>
      <c r="AC50" s="3"/>
      <c r="AD50" s="3"/>
    </row>
    <row r="51" spans="1:30" x14ac:dyDescent="0.25">
      <c r="A51" s="4"/>
      <c r="B51" s="46"/>
      <c r="C51" s="50" t="s">
        <v>71</v>
      </c>
      <c r="D51" s="85">
        <f>182.758+1664.83</f>
        <v>1847.588</v>
      </c>
      <c r="E51" s="85">
        <v>394.70499999999998</v>
      </c>
      <c r="F51" s="85">
        <f>187+980.458</f>
        <v>1167.4580000000001</v>
      </c>
      <c r="G51" s="51">
        <f t="shared" ref="G51:G54" si="27">D51+E51-F51</f>
        <v>1074.835</v>
      </c>
      <c r="H51" s="48"/>
      <c r="I51" s="3"/>
      <c r="J51" s="51">
        <v>1016</v>
      </c>
      <c r="K51" s="85">
        <v>80</v>
      </c>
      <c r="L51" s="85">
        <v>0</v>
      </c>
      <c r="M51" s="51">
        <f t="shared" ref="M51:M54" si="28">J51+K51-L51</f>
        <v>1096</v>
      </c>
      <c r="N51" s="3"/>
      <c r="O51" s="3"/>
      <c r="P51" s="85">
        <v>1074.8</v>
      </c>
      <c r="Q51" s="85">
        <v>528.90899999999999</v>
      </c>
      <c r="R51" s="85">
        <v>437.822</v>
      </c>
      <c r="S51" s="51">
        <f t="shared" ref="S51:S54" si="29">P51+Q51-R51</f>
        <v>1165.8869999999997</v>
      </c>
      <c r="T51" s="3"/>
      <c r="U51" s="3"/>
      <c r="V51" s="85">
        <v>800</v>
      </c>
      <c r="W51" s="85">
        <v>150</v>
      </c>
      <c r="X51" s="85">
        <v>0</v>
      </c>
      <c r="Y51" s="51">
        <f t="shared" ref="Y51:Y54" si="30">V51+W51-X51</f>
        <v>950</v>
      </c>
      <c r="Z51" s="3"/>
      <c r="AA51" s="3"/>
      <c r="AB51" s="3"/>
      <c r="AC51" s="3"/>
      <c r="AD51" s="3"/>
    </row>
    <row r="52" spans="1:30" x14ac:dyDescent="0.25">
      <c r="A52" s="4"/>
      <c r="B52" s="46"/>
      <c r="C52" s="50" t="s">
        <v>72</v>
      </c>
      <c r="D52" s="85">
        <v>48.44</v>
      </c>
      <c r="E52" s="85">
        <f>287.361+187</f>
        <v>474.36099999999999</v>
      </c>
      <c r="F52" s="85">
        <f>187+205.332</f>
        <v>392.33199999999999</v>
      </c>
      <c r="G52" s="51">
        <f t="shared" si="27"/>
        <v>130.46899999999994</v>
      </c>
      <c r="H52" s="48"/>
      <c r="I52" s="3"/>
      <c r="J52" s="51">
        <v>130.4</v>
      </c>
      <c r="K52" s="85">
        <v>287.39999999999998</v>
      </c>
      <c r="L52" s="85">
        <v>205.3</v>
      </c>
      <c r="M52" s="51">
        <f t="shared" si="28"/>
        <v>212.49999999999994</v>
      </c>
      <c r="N52" s="3"/>
      <c r="O52" s="3"/>
      <c r="P52" s="85">
        <v>130.5</v>
      </c>
      <c r="Q52" s="85">
        <v>245.006</v>
      </c>
      <c r="R52" s="85">
        <v>191.494</v>
      </c>
      <c r="S52" s="51">
        <f t="shared" si="29"/>
        <v>184.01199999999997</v>
      </c>
      <c r="T52" s="3"/>
      <c r="U52" s="3"/>
      <c r="V52" s="85">
        <v>121.506</v>
      </c>
      <c r="W52" s="85">
        <v>287.39999999999998</v>
      </c>
      <c r="X52" s="85">
        <v>205.3</v>
      </c>
      <c r="Y52" s="51">
        <f t="shared" si="30"/>
        <v>203.60599999999994</v>
      </c>
      <c r="Z52" s="3"/>
      <c r="AA52" s="3"/>
      <c r="AB52" s="3"/>
      <c r="AC52" s="3"/>
      <c r="AD52" s="3"/>
    </row>
    <row r="53" spans="1:30" x14ac:dyDescent="0.25">
      <c r="A53" s="4"/>
      <c r="B53" s="46"/>
      <c r="C53" s="50" t="s">
        <v>88</v>
      </c>
      <c r="D53" s="85">
        <v>294.42099999999999</v>
      </c>
      <c r="E53" s="85">
        <v>0</v>
      </c>
      <c r="F53" s="85">
        <v>0</v>
      </c>
      <c r="G53" s="51">
        <f t="shared" si="27"/>
        <v>294.42099999999999</v>
      </c>
      <c r="H53" s="48"/>
      <c r="I53" s="3"/>
      <c r="J53" s="51">
        <v>294.39999999999998</v>
      </c>
      <c r="K53" s="85">
        <v>0</v>
      </c>
      <c r="L53" s="85">
        <v>0</v>
      </c>
      <c r="M53" s="51">
        <f t="shared" si="28"/>
        <v>294.39999999999998</v>
      </c>
      <c r="N53" s="3"/>
      <c r="O53" s="3"/>
      <c r="P53" s="85">
        <v>294.39999999999998</v>
      </c>
      <c r="Q53" s="85">
        <v>3.5</v>
      </c>
      <c r="R53" s="85">
        <v>0</v>
      </c>
      <c r="S53" s="51">
        <f t="shared" si="29"/>
        <v>297.89999999999998</v>
      </c>
      <c r="T53" s="3"/>
      <c r="U53" s="3"/>
      <c r="V53" s="85">
        <v>297.92099999999999</v>
      </c>
      <c r="W53" s="85">
        <v>0</v>
      </c>
      <c r="X53" s="85">
        <v>0</v>
      </c>
      <c r="Y53" s="51">
        <f t="shared" si="30"/>
        <v>297.92099999999999</v>
      </c>
      <c r="Z53" s="3"/>
      <c r="AA53" s="3"/>
      <c r="AB53" s="3"/>
      <c r="AC53" s="3"/>
      <c r="AD53" s="3"/>
    </row>
    <row r="54" spans="1:30" x14ac:dyDescent="0.25">
      <c r="A54" s="4"/>
      <c r="B54" s="46"/>
      <c r="C54" s="131" t="s">
        <v>89</v>
      </c>
      <c r="D54" s="85">
        <v>186.70099999999999</v>
      </c>
      <c r="E54" s="85">
        <v>145.542</v>
      </c>
      <c r="F54" s="85">
        <f>10.865+72</f>
        <v>82.864999999999995</v>
      </c>
      <c r="G54" s="51">
        <f t="shared" si="27"/>
        <v>249.37799999999999</v>
      </c>
      <c r="H54" s="48"/>
      <c r="I54" s="3"/>
      <c r="J54" s="51">
        <v>251.7</v>
      </c>
      <c r="K54" s="85">
        <v>140</v>
      </c>
      <c r="L54" s="85">
        <v>80</v>
      </c>
      <c r="M54" s="51">
        <f t="shared" si="28"/>
        <v>311.7</v>
      </c>
      <c r="N54" s="3"/>
      <c r="O54" s="3"/>
      <c r="P54" s="85">
        <v>249.4</v>
      </c>
      <c r="Q54" s="85">
        <v>66.489000000000004</v>
      </c>
      <c r="R54" s="85">
        <v>80.409000000000006</v>
      </c>
      <c r="S54" s="51">
        <f t="shared" si="29"/>
        <v>235.48000000000002</v>
      </c>
      <c r="T54" s="3"/>
      <c r="U54" s="3"/>
      <c r="V54" s="85">
        <v>311.7</v>
      </c>
      <c r="W54" s="85">
        <v>140</v>
      </c>
      <c r="X54" s="85">
        <v>100</v>
      </c>
      <c r="Y54" s="51">
        <f t="shared" si="30"/>
        <v>351.7</v>
      </c>
      <c r="Z54" s="3"/>
      <c r="AA54" s="3"/>
      <c r="AB54" s="3"/>
      <c r="AC54" s="3"/>
      <c r="AD54" s="3"/>
    </row>
    <row r="55" spans="1:30" ht="10.5" customHeight="1" x14ac:dyDescent="0.25">
      <c r="A55" s="4"/>
      <c r="B55" s="46"/>
      <c r="C55" s="47"/>
      <c r="D55" s="48"/>
      <c r="E55" s="48"/>
      <c r="F55" s="48"/>
      <c r="G55" s="48"/>
      <c r="H55" s="4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4"/>
      <c r="B56" s="46"/>
      <c r="C56" s="98" t="s">
        <v>75</v>
      </c>
      <c r="D56" s="99" t="s">
        <v>76</v>
      </c>
      <c r="E56" s="99" t="s">
        <v>96</v>
      </c>
      <c r="F56" s="48"/>
      <c r="G56" s="48"/>
      <c r="H56" s="48"/>
      <c r="I56" s="49"/>
      <c r="J56" s="99" t="s">
        <v>97</v>
      </c>
      <c r="K56" s="48"/>
      <c r="L56" s="48"/>
      <c r="M56" s="48"/>
      <c r="N56" s="48"/>
      <c r="O56" s="49"/>
      <c r="P56" s="99" t="s">
        <v>98</v>
      </c>
      <c r="Q56" s="49"/>
      <c r="R56" s="49"/>
      <c r="S56" s="49"/>
      <c r="T56" s="49"/>
      <c r="U56" s="49"/>
      <c r="V56" s="99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4"/>
      <c r="B57" s="46"/>
      <c r="C57" s="50"/>
      <c r="D57" s="86">
        <v>15.13</v>
      </c>
      <c r="E57" s="86">
        <v>15</v>
      </c>
      <c r="F57" s="48"/>
      <c r="G57" s="48"/>
      <c r="H57" s="48"/>
      <c r="I57" s="49"/>
      <c r="J57" s="86">
        <v>15.6</v>
      </c>
      <c r="K57" s="48"/>
      <c r="L57" s="48"/>
      <c r="M57" s="48"/>
      <c r="N57" s="48"/>
      <c r="O57" s="49"/>
      <c r="P57" s="86">
        <v>15</v>
      </c>
      <c r="Q57" s="49"/>
      <c r="R57" s="49"/>
      <c r="S57" s="49"/>
      <c r="T57" s="49"/>
      <c r="U57" s="49"/>
      <c r="V57" s="86">
        <v>15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4"/>
      <c r="B58" s="46"/>
      <c r="C58" s="47"/>
      <c r="D58" s="48"/>
      <c r="E58" s="48"/>
      <c r="F58" s="48"/>
      <c r="G58" s="48"/>
      <c r="H58" s="48"/>
      <c r="I58" s="49"/>
      <c r="J58" s="48"/>
      <c r="K58" s="48"/>
      <c r="L58" s="48"/>
      <c r="M58" s="48"/>
      <c r="N58" s="48"/>
      <c r="O58" s="49"/>
      <c r="P58" s="49"/>
      <c r="Q58" s="49"/>
      <c r="R58" s="49"/>
      <c r="S58" s="49"/>
      <c r="T58" s="49"/>
      <c r="U58" s="49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4"/>
      <c r="B59" s="101" t="s">
        <v>92</v>
      </c>
      <c r="C59" s="100"/>
      <c r="D59" s="236"/>
      <c r="E59" s="236"/>
      <c r="F59" s="236"/>
      <c r="G59" s="236"/>
      <c r="H59" s="236"/>
      <c r="I59" s="236"/>
      <c r="J59" s="236"/>
      <c r="K59" s="236"/>
      <c r="L59" s="236"/>
      <c r="M59" s="236"/>
      <c r="N59" s="236"/>
      <c r="O59" s="236"/>
      <c r="P59" s="236"/>
      <c r="Q59" s="236"/>
      <c r="R59" s="236"/>
      <c r="S59" s="236"/>
      <c r="T59" s="236"/>
      <c r="U59" s="236"/>
      <c r="V59" s="145"/>
      <c r="W59" s="145"/>
      <c r="X59" s="145"/>
      <c r="Y59" s="145"/>
      <c r="Z59" s="145"/>
      <c r="AA59" s="145"/>
      <c r="AB59" s="146"/>
      <c r="AC59" s="3"/>
      <c r="AD59" s="3"/>
    </row>
    <row r="60" spans="1:30" x14ac:dyDescent="0.25">
      <c r="A60" s="4"/>
      <c r="B60" s="121" t="s">
        <v>109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AC60" s="3"/>
      <c r="AD60" s="3"/>
    </row>
    <row r="61" spans="1:30" x14ac:dyDescent="0.25">
      <c r="A61" s="4"/>
      <c r="B61" s="234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122"/>
      <c r="W61" s="122"/>
      <c r="X61" s="122"/>
      <c r="Y61" s="122"/>
      <c r="Z61" s="122"/>
      <c r="AA61" s="122"/>
      <c r="AB61" s="123"/>
      <c r="AC61" s="3"/>
      <c r="AD61" s="3"/>
    </row>
    <row r="62" spans="1:30" x14ac:dyDescent="0.25">
      <c r="A62" s="4"/>
      <c r="B62" s="234"/>
      <c r="C62" s="235"/>
      <c r="D62" s="235"/>
      <c r="E62" s="235"/>
      <c r="F62" s="235"/>
      <c r="G62" s="235"/>
      <c r="H62" s="235"/>
      <c r="I62" s="235"/>
      <c r="J62" s="235"/>
      <c r="K62" s="235"/>
      <c r="L62" s="235"/>
      <c r="M62" s="235"/>
      <c r="N62" s="235"/>
      <c r="O62" s="235"/>
      <c r="P62" s="235"/>
      <c r="Q62" s="235"/>
      <c r="R62" s="235"/>
      <c r="S62" s="235"/>
      <c r="T62" s="235"/>
      <c r="U62" s="235"/>
      <c r="V62" s="122"/>
      <c r="W62" s="122"/>
      <c r="X62" s="122"/>
      <c r="Y62" s="122"/>
      <c r="Z62" s="122"/>
      <c r="AA62" s="122"/>
      <c r="AB62" s="123"/>
      <c r="AC62" s="3"/>
      <c r="AD62" s="3"/>
    </row>
    <row r="63" spans="1:30" x14ac:dyDescent="0.25">
      <c r="A63" s="4"/>
      <c r="B63" s="234"/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122"/>
      <c r="W63" s="122"/>
      <c r="X63" s="122"/>
      <c r="Y63" s="122"/>
      <c r="Z63" s="122"/>
      <c r="AA63" s="122"/>
      <c r="AB63" s="123"/>
      <c r="AC63" s="3"/>
      <c r="AD63" s="3"/>
    </row>
    <row r="64" spans="1:30" x14ac:dyDescent="0.25">
      <c r="A64" s="4"/>
      <c r="B64" s="148"/>
      <c r="C64" s="147"/>
      <c r="D64" s="147"/>
      <c r="E64" s="147"/>
      <c r="F64" s="147"/>
      <c r="G64" s="147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22"/>
      <c r="W64" s="122"/>
      <c r="X64" s="122"/>
      <c r="Y64" s="122"/>
      <c r="Z64" s="122"/>
      <c r="AA64" s="122"/>
      <c r="AB64" s="123"/>
      <c r="AC64" s="3"/>
      <c r="AD64" s="3"/>
    </row>
    <row r="65" spans="1:30" x14ac:dyDescent="0.25">
      <c r="A65" s="4"/>
      <c r="B65" s="148"/>
      <c r="C65" s="147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22"/>
      <c r="W65" s="122"/>
      <c r="X65" s="122"/>
      <c r="Y65" s="122"/>
      <c r="Z65" s="122"/>
      <c r="AA65" s="122"/>
      <c r="AB65" s="123"/>
      <c r="AC65" s="3"/>
      <c r="AD65" s="3"/>
    </row>
    <row r="66" spans="1:30" x14ac:dyDescent="0.25">
      <c r="A66" s="4"/>
      <c r="B66" s="148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22"/>
      <c r="W66" s="122"/>
      <c r="X66" s="122"/>
      <c r="Y66" s="122"/>
      <c r="Z66" s="122"/>
      <c r="AA66" s="122"/>
      <c r="AB66" s="123"/>
      <c r="AC66" s="3"/>
      <c r="AD66" s="3"/>
    </row>
    <row r="67" spans="1:30" x14ac:dyDescent="0.25">
      <c r="A67" s="4"/>
      <c r="B67" s="148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22"/>
      <c r="W67" s="122"/>
      <c r="X67" s="122"/>
      <c r="Y67" s="122"/>
      <c r="Z67" s="122"/>
      <c r="AA67" s="122"/>
      <c r="AB67" s="123"/>
      <c r="AC67" s="3"/>
      <c r="AD67" s="3"/>
    </row>
    <row r="68" spans="1:30" x14ac:dyDescent="0.25">
      <c r="A68" s="4"/>
      <c r="B68" s="148"/>
      <c r="C68" s="147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22"/>
      <c r="W68" s="122"/>
      <c r="X68" s="122"/>
      <c r="Y68" s="122"/>
      <c r="Z68" s="122"/>
      <c r="AA68" s="122"/>
      <c r="AB68" s="123"/>
      <c r="AC68" s="3"/>
      <c r="AD68" s="3"/>
    </row>
    <row r="69" spans="1:30" x14ac:dyDescent="0.25">
      <c r="A69" s="88"/>
      <c r="B69" s="133"/>
      <c r="C69" s="132"/>
      <c r="D69" s="133"/>
      <c r="E69" s="133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3"/>
      <c r="W69" s="3"/>
      <c r="X69" s="3"/>
      <c r="Y69" s="3"/>
      <c r="Z69" s="3"/>
      <c r="AA69" s="3"/>
      <c r="AB69" s="3"/>
      <c r="AC69" s="3"/>
      <c r="AD69" s="3"/>
    </row>
    <row r="70" spans="1:30" x14ac:dyDescent="0.25">
      <c r="A70" s="88"/>
      <c r="B70" s="133"/>
      <c r="C70" s="132"/>
      <c r="D70" s="133"/>
      <c r="E70" s="133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3"/>
      <c r="W70" s="3"/>
      <c r="X70" s="3"/>
      <c r="Y70" s="3"/>
      <c r="Z70" s="3"/>
      <c r="AA70" s="3"/>
      <c r="AB70" s="3"/>
      <c r="AC70" s="3"/>
      <c r="AD70" s="3"/>
    </row>
    <row r="71" spans="1:30" x14ac:dyDescent="0.25">
      <c r="A71" s="4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3"/>
      <c r="W71" s="3"/>
      <c r="X71" s="3"/>
      <c r="Y71" s="3"/>
      <c r="Z71" s="3"/>
      <c r="AA71" s="3"/>
      <c r="AB71" s="3"/>
      <c r="AC71" s="3"/>
      <c r="AD71" s="3"/>
    </row>
    <row r="72" spans="1:30" x14ac:dyDescent="0.25">
      <c r="A72" s="4"/>
      <c r="B72" s="52" t="s">
        <v>81</v>
      </c>
      <c r="C72" s="120">
        <v>45155</v>
      </c>
      <c r="D72" s="52" t="s">
        <v>77</v>
      </c>
      <c r="E72" s="235" t="s">
        <v>107</v>
      </c>
      <c r="F72" s="235"/>
      <c r="G72" s="235"/>
      <c r="H72" s="52"/>
      <c r="I72" s="52" t="s">
        <v>78</v>
      </c>
      <c r="J72" s="251" t="s">
        <v>108</v>
      </c>
      <c r="K72" s="251"/>
      <c r="L72" s="251"/>
      <c r="M72" s="251"/>
      <c r="N72" s="52"/>
      <c r="O72" s="52"/>
      <c r="P72" s="52"/>
      <c r="Q72" s="52"/>
      <c r="R72" s="52"/>
      <c r="S72" s="52"/>
      <c r="T72" s="52"/>
      <c r="U72" s="52"/>
      <c r="V72" s="3"/>
      <c r="W72" s="3"/>
      <c r="X72" s="3"/>
      <c r="Y72" s="3"/>
      <c r="Z72" s="3"/>
      <c r="AA72" s="3"/>
      <c r="AB72" s="3"/>
      <c r="AC72" s="3"/>
      <c r="AD72" s="3"/>
    </row>
    <row r="73" spans="1:30" ht="7.5" customHeight="1" x14ac:dyDescent="0.25">
      <c r="A73" s="4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3"/>
      <c r="W73" s="3"/>
      <c r="X73" s="3"/>
      <c r="Y73" s="3"/>
      <c r="Z73" s="3"/>
      <c r="AA73" s="3"/>
      <c r="AB73" s="3"/>
      <c r="AC73" s="3"/>
      <c r="AD73" s="3"/>
    </row>
    <row r="74" spans="1:30" x14ac:dyDescent="0.25">
      <c r="A74" s="4"/>
      <c r="B74" s="52"/>
      <c r="C74" s="52"/>
      <c r="D74" s="52" t="s">
        <v>80</v>
      </c>
      <c r="E74" s="54"/>
      <c r="F74" s="54"/>
      <c r="G74" s="54"/>
      <c r="H74" s="52"/>
      <c r="I74" s="52" t="s">
        <v>80</v>
      </c>
      <c r="J74" s="53"/>
      <c r="K74" s="53"/>
      <c r="L74" s="53"/>
      <c r="M74" s="53"/>
      <c r="N74" s="52"/>
      <c r="O74" s="52"/>
      <c r="P74" s="52"/>
      <c r="Q74" s="52"/>
      <c r="R74" s="52"/>
      <c r="S74" s="52"/>
      <c r="T74" s="52"/>
      <c r="U74" s="52"/>
      <c r="V74" s="3"/>
      <c r="W74" s="3"/>
      <c r="X74" s="3"/>
      <c r="Y74" s="3"/>
      <c r="Z74" s="3"/>
      <c r="AA74" s="3"/>
      <c r="AB74" s="3"/>
      <c r="AC74" s="3"/>
      <c r="AD74" s="3"/>
    </row>
    <row r="75" spans="1:30" x14ac:dyDescent="0.25">
      <c r="A75" s="4"/>
      <c r="B75" s="52"/>
      <c r="C75" s="52"/>
      <c r="D75" s="52"/>
      <c r="E75" s="54"/>
      <c r="F75" s="54"/>
      <c r="G75" s="54"/>
      <c r="H75" s="52"/>
      <c r="I75" s="52"/>
      <c r="J75" s="53"/>
      <c r="K75" s="53"/>
      <c r="L75" s="53"/>
      <c r="M75" s="53"/>
      <c r="N75" s="52"/>
      <c r="O75" s="52"/>
      <c r="P75" s="52"/>
      <c r="Q75" s="52"/>
      <c r="R75" s="52"/>
      <c r="S75" s="52"/>
      <c r="T75" s="52"/>
      <c r="U75" s="52"/>
      <c r="V75" s="3"/>
      <c r="W75" s="3"/>
      <c r="X75" s="3"/>
      <c r="Y75" s="3"/>
      <c r="Z75" s="3"/>
      <c r="AA75" s="3"/>
      <c r="AB75" s="3"/>
      <c r="AC75" s="3"/>
      <c r="AD75" s="3"/>
    </row>
    <row r="76" spans="1:30" x14ac:dyDescent="0.25">
      <c r="A76" s="4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3"/>
      <c r="W76" s="3"/>
      <c r="X76" s="3"/>
      <c r="Y76" s="3"/>
      <c r="Z76" s="3"/>
      <c r="AA76" s="3"/>
      <c r="AB76" s="3"/>
      <c r="AC76" s="3"/>
      <c r="AD76" s="3"/>
    </row>
    <row r="77" spans="1:30" x14ac:dyDescent="0.25">
      <c r="A77" s="4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3"/>
      <c r="W77" s="3"/>
      <c r="X77" s="3"/>
      <c r="Y77" s="3"/>
      <c r="Z77" s="3"/>
      <c r="AA77" s="3"/>
      <c r="AB77" s="3"/>
      <c r="AC77" s="3"/>
      <c r="AD77" s="3"/>
    </row>
    <row r="78" spans="1:30" hidden="1" x14ac:dyDescent="0.25">
      <c r="AC78" s="2"/>
      <c r="AD78" s="2"/>
    </row>
    <row r="79" spans="1:30" hidden="1" x14ac:dyDescent="0.25"/>
    <row r="80" spans="1:3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</sheetData>
  <mergeCells count="64"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  <mergeCell ref="T13:T14"/>
    <mergeCell ref="U13:U14"/>
    <mergeCell ref="P25:U25"/>
    <mergeCell ref="P26:R26"/>
    <mergeCell ref="S26:S27"/>
    <mergeCell ref="T26:T27"/>
    <mergeCell ref="U26:U27"/>
    <mergeCell ref="E72:G72"/>
    <mergeCell ref="J72:M72"/>
    <mergeCell ref="B63:U63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I13:I14"/>
    <mergeCell ref="D25:I25"/>
    <mergeCell ref="D26:F26"/>
    <mergeCell ref="G26:G27"/>
    <mergeCell ref="B10:B13"/>
    <mergeCell ref="J10:O10"/>
    <mergeCell ref="J11:M11"/>
    <mergeCell ref="J12:O12"/>
    <mergeCell ref="J13:L13"/>
    <mergeCell ref="M13:M14"/>
    <mergeCell ref="N13:N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NR 2024</vt:lpstr>
      <vt:lpstr>'NR 2024'!Oblast_tisku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2023-10-09T15:32:36Z</cp:lastPrinted>
  <dcterms:created xsi:type="dcterms:W3CDTF">2017-02-23T12:10:09Z</dcterms:created>
  <dcterms:modified xsi:type="dcterms:W3CDTF">2023-10-25T07:25:11Z</dcterms:modified>
</cp:coreProperties>
</file>