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Rozpočet PO" sheetId="1" r:id="rId1"/>
    <sheet name="Příloha rozpočet" sheetId="5" r:id="rId2"/>
    <sheet name="Střediska" sheetId="6" r:id="rId3"/>
    <sheet name="Střednědobý výhled hospod. PO 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2" l="1"/>
  <c r="R41" i="1" l="1"/>
  <c r="O41" i="1"/>
  <c r="L41" i="1"/>
  <c r="I41" i="1"/>
  <c r="F41" i="1"/>
  <c r="R40" i="1"/>
  <c r="O40" i="1"/>
  <c r="L40" i="1"/>
  <c r="I40" i="1"/>
  <c r="F40" i="1"/>
  <c r="R39" i="1"/>
  <c r="O39" i="1"/>
  <c r="L39" i="1"/>
  <c r="I39" i="1"/>
  <c r="F39" i="1"/>
  <c r="Q38" i="1"/>
  <c r="P38" i="1"/>
  <c r="R38" i="1" s="1"/>
  <c r="O38" i="1"/>
  <c r="N38" i="1"/>
  <c r="M38" i="1"/>
  <c r="K38" i="1"/>
  <c r="L38" i="1" s="1"/>
  <c r="J38" i="1"/>
  <c r="H38" i="1"/>
  <c r="G38" i="1"/>
  <c r="I38" i="1" s="1"/>
  <c r="E38" i="1"/>
  <c r="D38" i="1"/>
  <c r="F38" i="1" s="1"/>
  <c r="R36" i="1"/>
  <c r="O36" i="1"/>
  <c r="L36" i="1"/>
  <c r="I36" i="1"/>
  <c r="F36" i="1"/>
  <c r="Q34" i="1"/>
  <c r="P34" i="1"/>
  <c r="N34" i="1"/>
  <c r="M34" i="1"/>
  <c r="O34" i="1" s="1"/>
  <c r="K34" i="1"/>
  <c r="J34" i="1"/>
  <c r="L34" i="1" s="1"/>
  <c r="I34" i="1"/>
  <c r="H34" i="1"/>
  <c r="G34" i="1"/>
  <c r="E34" i="1"/>
  <c r="F34" i="1" s="1"/>
  <c r="D34" i="1"/>
  <c r="Q33" i="1"/>
  <c r="N33" i="1"/>
  <c r="M33" i="1"/>
  <c r="O33" i="1" s="1"/>
  <c r="J33" i="1"/>
  <c r="H33" i="1"/>
  <c r="E33" i="1"/>
  <c r="D33" i="1"/>
  <c r="F33" i="1" s="1"/>
  <c r="R32" i="1"/>
  <c r="O32" i="1"/>
  <c r="L32" i="1"/>
  <c r="I32" i="1"/>
  <c r="F32" i="1"/>
  <c r="R31" i="1"/>
  <c r="O31" i="1"/>
  <c r="L31" i="1"/>
  <c r="I31" i="1"/>
  <c r="F31" i="1"/>
  <c r="R30" i="1"/>
  <c r="O30" i="1"/>
  <c r="L30" i="1"/>
  <c r="I30" i="1"/>
  <c r="F30" i="1"/>
  <c r="R29" i="1"/>
  <c r="O29" i="1"/>
  <c r="L29" i="1"/>
  <c r="I29" i="1"/>
  <c r="F29" i="1"/>
  <c r="R28" i="1"/>
  <c r="O28" i="1"/>
  <c r="L28" i="1"/>
  <c r="I28" i="1"/>
  <c r="F28" i="1"/>
  <c r="R27" i="1"/>
  <c r="O27" i="1"/>
  <c r="L27" i="1"/>
  <c r="I27" i="1"/>
  <c r="F27" i="1"/>
  <c r="R26" i="1"/>
  <c r="O26" i="1"/>
  <c r="L26" i="1"/>
  <c r="I26" i="1"/>
  <c r="F26" i="1"/>
  <c r="R25" i="1"/>
  <c r="O25" i="1"/>
  <c r="L25" i="1"/>
  <c r="I25" i="1"/>
  <c r="F25" i="1"/>
  <c r="R24" i="1"/>
  <c r="O24" i="1"/>
  <c r="L24" i="1"/>
  <c r="I24" i="1"/>
  <c r="F24" i="1"/>
  <c r="R23" i="1"/>
  <c r="O23" i="1"/>
  <c r="L23" i="1"/>
  <c r="I23" i="1"/>
  <c r="F23" i="1"/>
  <c r="R22" i="1"/>
  <c r="O22" i="1"/>
  <c r="L22" i="1"/>
  <c r="I22" i="1"/>
  <c r="F22" i="1"/>
  <c r="Q21" i="1"/>
  <c r="Q35" i="1" s="1"/>
  <c r="Q37" i="1" s="1"/>
  <c r="P21" i="1"/>
  <c r="P35" i="1" s="1"/>
  <c r="N21" i="1"/>
  <c r="O21" i="1" s="1"/>
  <c r="M21" i="1"/>
  <c r="M35" i="1" s="1"/>
  <c r="K21" i="1"/>
  <c r="K35" i="1" s="1"/>
  <c r="K37" i="1" s="1"/>
  <c r="J21" i="1"/>
  <c r="L21" i="1" s="1"/>
  <c r="H21" i="1"/>
  <c r="H35" i="1" s="1"/>
  <c r="H37" i="1" s="1"/>
  <c r="G21" i="1"/>
  <c r="G35" i="1" s="1"/>
  <c r="F21" i="1"/>
  <c r="E21" i="1"/>
  <c r="E35" i="1" s="1"/>
  <c r="E37" i="1" s="1"/>
  <c r="D21" i="1"/>
  <c r="D35" i="1" s="1"/>
  <c r="R20" i="1"/>
  <c r="O20" i="1"/>
  <c r="L20" i="1"/>
  <c r="I20" i="1"/>
  <c r="F20" i="1"/>
  <c r="R19" i="1"/>
  <c r="O19" i="1"/>
  <c r="L19" i="1"/>
  <c r="I19" i="1"/>
  <c r="F19" i="1"/>
  <c r="R18" i="1"/>
  <c r="O18" i="1"/>
  <c r="L18" i="1"/>
  <c r="I18" i="1"/>
  <c r="F18" i="1"/>
  <c r="R17" i="1"/>
  <c r="O17" i="1"/>
  <c r="L17" i="1"/>
  <c r="I17" i="1"/>
  <c r="F17" i="1"/>
  <c r="R16" i="1"/>
  <c r="O16" i="1"/>
  <c r="L16" i="1"/>
  <c r="I16" i="1"/>
  <c r="F16" i="1"/>
  <c r="R15" i="1"/>
  <c r="O15" i="1"/>
  <c r="L15" i="1"/>
  <c r="I15" i="1"/>
  <c r="F15" i="1"/>
  <c r="R14" i="1"/>
  <c r="O14" i="1"/>
  <c r="L14" i="1"/>
  <c r="I14" i="1"/>
  <c r="F14" i="1"/>
  <c r="R13" i="1"/>
  <c r="O13" i="1"/>
  <c r="L13" i="1"/>
  <c r="I13" i="1"/>
  <c r="F13" i="1"/>
  <c r="P33" i="1" l="1"/>
  <c r="R33" i="1" s="1"/>
  <c r="R34" i="1"/>
  <c r="R21" i="1"/>
  <c r="G37" i="1"/>
  <c r="I37" i="1" s="1"/>
  <c r="I35" i="1"/>
  <c r="O35" i="1"/>
  <c r="M37" i="1"/>
  <c r="D37" i="1"/>
  <c r="F37" i="1" s="1"/>
  <c r="F35" i="1"/>
  <c r="P37" i="1"/>
  <c r="R37" i="1" s="1"/>
  <c r="R35" i="1"/>
  <c r="J35" i="1"/>
  <c r="I21" i="1"/>
  <c r="G33" i="1"/>
  <c r="I33" i="1" s="1"/>
  <c r="K33" i="1"/>
  <c r="L33" i="1" s="1"/>
  <c r="N35" i="1"/>
  <c r="N37" i="1" s="1"/>
  <c r="K47" i="1"/>
  <c r="L35" i="1" l="1"/>
  <c r="J37" i="1"/>
  <c r="L37" i="1" s="1"/>
  <c r="O37" i="1"/>
  <c r="K32" i="2"/>
  <c r="K31" i="2"/>
  <c r="K30" i="2"/>
  <c r="K29" i="2"/>
  <c r="K28" i="2"/>
  <c r="K27" i="2"/>
  <c r="K26" i="2"/>
  <c r="K25" i="2"/>
  <c r="K24" i="2"/>
  <c r="K23" i="2"/>
  <c r="K22" i="2"/>
  <c r="J32" i="2"/>
  <c r="J31" i="2"/>
  <c r="J30" i="2"/>
  <c r="J29" i="2"/>
  <c r="J28" i="2"/>
  <c r="J27" i="2"/>
  <c r="J26" i="2"/>
  <c r="J25" i="2"/>
  <c r="J24" i="2"/>
  <c r="J23" i="2"/>
  <c r="J22" i="2"/>
  <c r="K20" i="2"/>
  <c r="K19" i="2"/>
  <c r="K18" i="2"/>
  <c r="K17" i="2"/>
  <c r="K16" i="2"/>
  <c r="K15" i="2"/>
  <c r="K14" i="2"/>
  <c r="K13" i="2"/>
  <c r="J20" i="2"/>
  <c r="J19" i="2"/>
  <c r="J18" i="2"/>
  <c r="J17" i="2"/>
  <c r="J16" i="2"/>
  <c r="J15" i="2"/>
  <c r="J14" i="2"/>
  <c r="J13" i="2"/>
  <c r="D34" i="2"/>
  <c r="Q21" i="2"/>
  <c r="P21" i="2"/>
  <c r="N21" i="2"/>
  <c r="M21" i="2"/>
  <c r="F21" i="2"/>
  <c r="E21" i="2"/>
  <c r="D21" i="2"/>
  <c r="F32" i="2"/>
  <c r="D27" i="2"/>
  <c r="D23" i="2"/>
  <c r="P25" i="2"/>
  <c r="M25" i="2"/>
  <c r="H32" i="2"/>
  <c r="H31" i="2"/>
  <c r="H30" i="2"/>
  <c r="H29" i="2"/>
  <c r="H28" i="2"/>
  <c r="H27" i="2"/>
  <c r="H26" i="2"/>
  <c r="H25" i="2"/>
  <c r="H24" i="2"/>
  <c r="H23" i="2"/>
  <c r="H22" i="2"/>
  <c r="G32" i="2"/>
  <c r="G31" i="2"/>
  <c r="G30" i="2"/>
  <c r="G29" i="2"/>
  <c r="G28" i="2"/>
  <c r="G27" i="2"/>
  <c r="G26" i="2"/>
  <c r="G25" i="2"/>
  <c r="G24" i="2"/>
  <c r="G23" i="2"/>
  <c r="G22" i="2"/>
  <c r="G34" i="2" s="1"/>
  <c r="H20" i="2"/>
  <c r="H19" i="2"/>
  <c r="H18" i="2"/>
  <c r="H17" i="2"/>
  <c r="H16" i="2"/>
  <c r="H15" i="2"/>
  <c r="H14" i="2"/>
  <c r="H13" i="2"/>
  <c r="H21" i="2" s="1"/>
  <c r="G20" i="2"/>
  <c r="G19" i="2"/>
  <c r="G18" i="2"/>
  <c r="G17" i="2"/>
  <c r="G16" i="2"/>
  <c r="G15" i="2"/>
  <c r="G14" i="2"/>
  <c r="G13" i="2"/>
  <c r="G21" i="2" s="1"/>
  <c r="K21" i="2" l="1"/>
  <c r="J21" i="2"/>
  <c r="AI23" i="6"/>
  <c r="AH18" i="6"/>
  <c r="AE18" i="6"/>
  <c r="AD18" i="6"/>
  <c r="AC18" i="6"/>
  <c r="AB18" i="6"/>
  <c r="AA18" i="6" l="1"/>
  <c r="O25" i="6"/>
  <c r="O23" i="6"/>
  <c r="O22" i="6"/>
  <c r="O21" i="6"/>
  <c r="O20" i="6"/>
  <c r="O19" i="6"/>
  <c r="O18" i="6"/>
  <c r="O17" i="6"/>
  <c r="O16" i="6"/>
  <c r="O15" i="6"/>
  <c r="O13" i="6"/>
  <c r="O12" i="6"/>
  <c r="O11" i="6"/>
  <c r="O10" i="6"/>
  <c r="O9" i="6"/>
  <c r="O8" i="6"/>
  <c r="O75" i="6"/>
  <c r="X23" i="6" l="1"/>
  <c r="W23" i="6"/>
  <c r="W18" i="6"/>
  <c r="V23" i="6"/>
  <c r="V18" i="6"/>
  <c r="U23" i="6"/>
  <c r="T23" i="6"/>
  <c r="S23" i="6"/>
  <c r="S18" i="6"/>
  <c r="R23" i="6"/>
  <c r="R18" i="6"/>
  <c r="Q23" i="6"/>
  <c r="Q18" i="6"/>
  <c r="P23" i="6"/>
  <c r="P18" i="6"/>
  <c r="K13" i="6"/>
  <c r="K23" i="6"/>
  <c r="I23" i="6"/>
  <c r="C23" i="6" s="1"/>
  <c r="F13" i="6"/>
  <c r="F23" i="6"/>
  <c r="E13" i="6"/>
  <c r="E23" i="6"/>
  <c r="C48" i="6"/>
  <c r="C46" i="6"/>
  <c r="C45" i="6"/>
  <c r="C44" i="6"/>
  <c r="C43" i="6"/>
  <c r="C42" i="6"/>
  <c r="C41" i="6"/>
  <c r="C40" i="6"/>
  <c r="C39" i="6"/>
  <c r="C38" i="6"/>
  <c r="C36" i="6"/>
  <c r="C35" i="6"/>
  <c r="C34" i="6"/>
  <c r="C33" i="6"/>
  <c r="C32" i="6"/>
  <c r="C31" i="6"/>
  <c r="C25" i="6"/>
  <c r="C22" i="6"/>
  <c r="C21" i="6"/>
  <c r="C20" i="6"/>
  <c r="C19" i="6"/>
  <c r="C18" i="6"/>
  <c r="C17" i="6"/>
  <c r="C16" i="6"/>
  <c r="C15" i="6"/>
  <c r="C13" i="6"/>
  <c r="C12" i="6"/>
  <c r="C11" i="6"/>
  <c r="C10" i="6"/>
  <c r="C9" i="6"/>
  <c r="C8" i="6"/>
  <c r="C62" i="6"/>
  <c r="K31" i="6"/>
  <c r="J23" i="6"/>
  <c r="J13" i="6"/>
  <c r="H13" i="6"/>
  <c r="H23" i="6"/>
  <c r="G23" i="6"/>
  <c r="G13" i="6"/>
  <c r="F10" i="6"/>
  <c r="E19" i="6"/>
  <c r="E16" i="6"/>
  <c r="E10" i="6"/>
  <c r="E8" i="6"/>
  <c r="E31" i="6"/>
  <c r="D13" i="6"/>
  <c r="D71" i="6"/>
  <c r="D23" i="6"/>
  <c r="D10" i="6"/>
  <c r="AI71" i="6" l="1"/>
  <c r="AH71" i="6"/>
  <c r="AG71" i="6"/>
  <c r="AF71" i="6"/>
  <c r="AE71" i="6"/>
  <c r="AD71" i="6"/>
  <c r="AC71" i="6"/>
  <c r="AB71" i="6"/>
  <c r="AA71" i="6"/>
  <c r="AI69" i="6"/>
  <c r="AH69" i="6"/>
  <c r="AG69" i="6"/>
  <c r="AF69" i="6"/>
  <c r="AE69" i="6"/>
  <c r="AD69" i="6"/>
  <c r="AC69" i="6"/>
  <c r="AB69" i="6"/>
  <c r="AA69" i="6"/>
  <c r="AI68" i="6"/>
  <c r="AH68" i="6"/>
  <c r="AG68" i="6"/>
  <c r="AF68" i="6"/>
  <c r="AE68" i="6"/>
  <c r="AD68" i="6"/>
  <c r="AC68" i="6"/>
  <c r="AB68" i="6"/>
  <c r="AA68" i="6"/>
  <c r="AI67" i="6"/>
  <c r="AH67" i="6"/>
  <c r="AG67" i="6"/>
  <c r="AF67" i="6"/>
  <c r="AE67" i="6"/>
  <c r="AD67" i="6"/>
  <c r="AC67" i="6"/>
  <c r="AB67" i="6"/>
  <c r="AA67" i="6"/>
  <c r="AI66" i="6"/>
  <c r="AH66" i="6"/>
  <c r="AG66" i="6"/>
  <c r="AF66" i="6"/>
  <c r="AE66" i="6"/>
  <c r="AD66" i="6"/>
  <c r="AC66" i="6"/>
  <c r="AB66" i="6"/>
  <c r="AA66" i="6"/>
  <c r="AI65" i="6"/>
  <c r="AH65" i="6"/>
  <c r="AG65" i="6"/>
  <c r="AF65" i="6"/>
  <c r="AE65" i="6"/>
  <c r="AD65" i="6"/>
  <c r="AC65" i="6"/>
  <c r="AB65" i="6"/>
  <c r="AA65" i="6"/>
  <c r="AI64" i="6"/>
  <c r="AH64" i="6"/>
  <c r="AG64" i="6"/>
  <c r="AF64" i="6"/>
  <c r="AE64" i="6"/>
  <c r="AD64" i="6"/>
  <c r="AC64" i="6"/>
  <c r="AB64" i="6"/>
  <c r="AA64" i="6"/>
  <c r="AI63" i="6"/>
  <c r="AH63" i="6"/>
  <c r="AG63" i="6"/>
  <c r="AF63" i="6"/>
  <c r="AE63" i="6"/>
  <c r="AD63" i="6"/>
  <c r="AC63" i="6"/>
  <c r="AB63" i="6"/>
  <c r="AA63" i="6"/>
  <c r="AI62" i="6"/>
  <c r="AH62" i="6"/>
  <c r="AG62" i="6"/>
  <c r="AF62" i="6"/>
  <c r="AE62" i="6"/>
  <c r="AD62" i="6"/>
  <c r="AC62" i="6"/>
  <c r="AB62" i="6"/>
  <c r="AA62" i="6"/>
  <c r="AI61" i="6"/>
  <c r="AH61" i="6"/>
  <c r="AG61" i="6"/>
  <c r="AF61" i="6"/>
  <c r="AE61" i="6"/>
  <c r="AD61" i="6"/>
  <c r="AC61" i="6"/>
  <c r="AB61" i="6"/>
  <c r="AA61" i="6"/>
  <c r="AI59" i="6"/>
  <c r="AH59" i="6"/>
  <c r="AG59" i="6"/>
  <c r="AF59" i="6"/>
  <c r="AE59" i="6"/>
  <c r="AD59" i="6"/>
  <c r="AC59" i="6"/>
  <c r="AB59" i="6"/>
  <c r="AA59" i="6"/>
  <c r="AI58" i="6"/>
  <c r="AH58" i="6"/>
  <c r="AG58" i="6"/>
  <c r="AF58" i="6"/>
  <c r="AE58" i="6"/>
  <c r="AD58" i="6"/>
  <c r="AC58" i="6"/>
  <c r="AB58" i="6"/>
  <c r="AA58" i="6"/>
  <c r="AI57" i="6"/>
  <c r="AH57" i="6"/>
  <c r="AG57" i="6"/>
  <c r="AF57" i="6"/>
  <c r="AE57" i="6"/>
  <c r="AD57" i="6"/>
  <c r="AC57" i="6"/>
  <c r="AB57" i="6"/>
  <c r="AA57" i="6"/>
  <c r="AI56" i="6"/>
  <c r="AH56" i="6"/>
  <c r="AG56" i="6"/>
  <c r="AF56" i="6"/>
  <c r="AE56" i="6"/>
  <c r="AD56" i="6"/>
  <c r="AC56" i="6"/>
  <c r="AB56" i="6"/>
  <c r="AA56" i="6"/>
  <c r="AI55" i="6"/>
  <c r="AH55" i="6"/>
  <c r="AG55" i="6"/>
  <c r="AF55" i="6"/>
  <c r="AE55" i="6"/>
  <c r="AD55" i="6"/>
  <c r="AC55" i="6"/>
  <c r="AB55" i="6"/>
  <c r="AA55" i="6"/>
  <c r="AI54" i="6"/>
  <c r="AH54" i="6"/>
  <c r="AG54" i="6"/>
  <c r="AF54" i="6"/>
  <c r="AE54" i="6"/>
  <c r="AD54" i="6"/>
  <c r="AC54" i="6"/>
  <c r="AB54" i="6"/>
  <c r="AB53" i="6" s="1"/>
  <c r="AA54" i="6"/>
  <c r="AF53" i="6"/>
  <c r="Z48" i="6"/>
  <c r="Z46" i="6"/>
  <c r="Z45" i="6"/>
  <c r="Z44" i="6"/>
  <c r="Z43" i="6"/>
  <c r="Z42" i="6"/>
  <c r="Z41" i="6"/>
  <c r="Z40" i="6"/>
  <c r="Z39" i="6"/>
  <c r="Z38" i="6"/>
  <c r="Z36" i="6"/>
  <c r="Z35" i="6"/>
  <c r="Z34" i="6"/>
  <c r="Z33" i="6"/>
  <c r="Z32" i="6"/>
  <c r="Z31" i="6"/>
  <c r="AI47" i="6"/>
  <c r="AI49" i="6" s="1"/>
  <c r="AI37" i="6"/>
  <c r="AH37" i="6"/>
  <c r="AG37" i="6"/>
  <c r="AI30" i="6"/>
  <c r="AH30" i="6"/>
  <c r="AH47" i="6" s="1"/>
  <c r="AH49" i="6" s="1"/>
  <c r="AG30" i="6"/>
  <c r="AG47" i="6" s="1"/>
  <c r="AG49" i="6" s="1"/>
  <c r="AD47" i="6"/>
  <c r="AD49" i="6" s="1"/>
  <c r="AE37" i="6"/>
  <c r="AE47" i="6" s="1"/>
  <c r="AE49" i="6" s="1"/>
  <c r="AD37" i="6"/>
  <c r="AC37" i="6"/>
  <c r="AB37" i="6"/>
  <c r="AA37" i="6"/>
  <c r="AE30" i="6"/>
  <c r="AD30" i="6"/>
  <c r="AC30" i="6"/>
  <c r="AC47" i="6" s="1"/>
  <c r="AC49" i="6" s="1"/>
  <c r="AB30" i="6"/>
  <c r="AB47" i="6" s="1"/>
  <c r="AB49" i="6" s="1"/>
  <c r="AA30" i="6"/>
  <c r="AF30" i="6"/>
  <c r="Z25" i="6"/>
  <c r="Z23" i="6"/>
  <c r="Z22" i="6"/>
  <c r="Z21" i="6"/>
  <c r="Z20" i="6"/>
  <c r="Z19" i="6"/>
  <c r="Z18" i="6"/>
  <c r="Z17" i="6"/>
  <c r="Z16" i="6"/>
  <c r="Z15" i="6"/>
  <c r="Z13" i="6"/>
  <c r="Z12" i="6"/>
  <c r="Z11" i="6"/>
  <c r="Z10" i="6"/>
  <c r="Z9" i="6"/>
  <c r="Z8" i="6"/>
  <c r="AI14" i="6"/>
  <c r="AH14" i="6"/>
  <c r="AG14" i="6"/>
  <c r="AI7" i="6"/>
  <c r="AH7" i="6"/>
  <c r="AG7" i="6"/>
  <c r="AE14" i="6"/>
  <c r="AD14" i="6"/>
  <c r="AC14" i="6"/>
  <c r="AB14" i="6"/>
  <c r="AA14" i="6"/>
  <c r="AE7" i="6"/>
  <c r="AD7" i="6"/>
  <c r="AC7" i="6"/>
  <c r="AB7" i="6"/>
  <c r="AB24" i="6" s="1"/>
  <c r="AB26" i="6" s="1"/>
  <c r="AA7" i="6"/>
  <c r="X71" i="6"/>
  <c r="W71" i="6"/>
  <c r="V71" i="6"/>
  <c r="U71" i="6"/>
  <c r="T71" i="6"/>
  <c r="S71" i="6"/>
  <c r="R71" i="6"/>
  <c r="Q71" i="6"/>
  <c r="X69" i="6"/>
  <c r="W69" i="6"/>
  <c r="V69" i="6"/>
  <c r="U69" i="6"/>
  <c r="T69" i="6"/>
  <c r="S69" i="6"/>
  <c r="R69" i="6"/>
  <c r="Q69" i="6"/>
  <c r="X68" i="6"/>
  <c r="W68" i="6"/>
  <c r="V68" i="6"/>
  <c r="U68" i="6"/>
  <c r="T68" i="6"/>
  <c r="S68" i="6"/>
  <c r="R68" i="6"/>
  <c r="Q68" i="6"/>
  <c r="X67" i="6"/>
  <c r="W67" i="6"/>
  <c r="V67" i="6"/>
  <c r="U67" i="6"/>
  <c r="T67" i="6"/>
  <c r="S67" i="6"/>
  <c r="S60" i="6" s="1"/>
  <c r="R67" i="6"/>
  <c r="Q67" i="6"/>
  <c r="X66" i="6"/>
  <c r="W66" i="6"/>
  <c r="V66" i="6"/>
  <c r="U66" i="6"/>
  <c r="T66" i="6"/>
  <c r="S66" i="6"/>
  <c r="R66" i="6"/>
  <c r="Q66" i="6"/>
  <c r="X65" i="6"/>
  <c r="W65" i="6"/>
  <c r="V65" i="6"/>
  <c r="U65" i="6"/>
  <c r="T65" i="6"/>
  <c r="S65" i="6"/>
  <c r="R65" i="6"/>
  <c r="Q65" i="6"/>
  <c r="X64" i="6"/>
  <c r="W64" i="6"/>
  <c r="V64" i="6"/>
  <c r="U64" i="6"/>
  <c r="T64" i="6"/>
  <c r="S64" i="6"/>
  <c r="R64" i="6"/>
  <c r="Q64" i="6"/>
  <c r="Q60" i="6" s="1"/>
  <c r="X63" i="6"/>
  <c r="W63" i="6"/>
  <c r="V63" i="6"/>
  <c r="U63" i="6"/>
  <c r="T63" i="6"/>
  <c r="S63" i="6"/>
  <c r="R63" i="6"/>
  <c r="Q63" i="6"/>
  <c r="X62" i="6"/>
  <c r="W62" i="6"/>
  <c r="V62" i="6"/>
  <c r="U62" i="6"/>
  <c r="T62" i="6"/>
  <c r="S62" i="6"/>
  <c r="R62" i="6"/>
  <c r="Q62" i="6"/>
  <c r="X61" i="6"/>
  <c r="W61" i="6"/>
  <c r="V61" i="6"/>
  <c r="U61" i="6"/>
  <c r="T61" i="6"/>
  <c r="S61" i="6"/>
  <c r="R61" i="6"/>
  <c r="Q61" i="6"/>
  <c r="V60" i="6"/>
  <c r="U60" i="6"/>
  <c r="X59" i="6"/>
  <c r="W59" i="6"/>
  <c r="V59" i="6"/>
  <c r="U59" i="6"/>
  <c r="T59" i="6"/>
  <c r="S59" i="6"/>
  <c r="R59" i="6"/>
  <c r="Q59" i="6"/>
  <c r="X58" i="6"/>
  <c r="W58" i="6"/>
  <c r="V58" i="6"/>
  <c r="U58" i="6"/>
  <c r="T58" i="6"/>
  <c r="S58" i="6"/>
  <c r="R58" i="6"/>
  <c r="Q58" i="6"/>
  <c r="X57" i="6"/>
  <c r="W57" i="6"/>
  <c r="V57" i="6"/>
  <c r="U57" i="6"/>
  <c r="T57" i="6"/>
  <c r="S57" i="6"/>
  <c r="R57" i="6"/>
  <c r="Q57" i="6"/>
  <c r="X56" i="6"/>
  <c r="W56" i="6"/>
  <c r="V56" i="6"/>
  <c r="U56" i="6"/>
  <c r="T56" i="6"/>
  <c r="S56" i="6"/>
  <c r="R56" i="6"/>
  <c r="Q56" i="6"/>
  <c r="X55" i="6"/>
  <c r="W55" i="6"/>
  <c r="V55" i="6"/>
  <c r="U55" i="6"/>
  <c r="T55" i="6"/>
  <c r="S55" i="6"/>
  <c r="R55" i="6"/>
  <c r="Q55" i="6"/>
  <c r="X54" i="6"/>
  <c r="W54" i="6"/>
  <c r="W53" i="6" s="1"/>
  <c r="V54" i="6"/>
  <c r="U54" i="6"/>
  <c r="U53" i="6" s="1"/>
  <c r="T54" i="6"/>
  <c r="T53" i="6" s="1"/>
  <c r="S54" i="6"/>
  <c r="R54" i="6"/>
  <c r="R53" i="6" s="1"/>
  <c r="Q54" i="6"/>
  <c r="X53" i="6"/>
  <c r="V53" i="6"/>
  <c r="S53" i="6"/>
  <c r="Q53" i="6"/>
  <c r="O48" i="6"/>
  <c r="O46" i="6"/>
  <c r="O45" i="6"/>
  <c r="O44" i="6"/>
  <c r="O43" i="6"/>
  <c r="O42" i="6"/>
  <c r="O41" i="6"/>
  <c r="O40" i="6"/>
  <c r="O39" i="6"/>
  <c r="O38" i="6"/>
  <c r="O36" i="6"/>
  <c r="O35" i="6"/>
  <c r="O34" i="6"/>
  <c r="O33" i="6"/>
  <c r="O32" i="6"/>
  <c r="O31" i="6"/>
  <c r="X37" i="6"/>
  <c r="W37" i="6"/>
  <c r="V37" i="6"/>
  <c r="U37" i="6"/>
  <c r="T37" i="6"/>
  <c r="S37" i="6"/>
  <c r="R37" i="6"/>
  <c r="Q37" i="6"/>
  <c r="P37" i="6"/>
  <c r="X30" i="6"/>
  <c r="X47" i="6" s="1"/>
  <c r="X49" i="6" s="1"/>
  <c r="W30" i="6"/>
  <c r="V30" i="6"/>
  <c r="U30" i="6"/>
  <c r="U47" i="6" s="1"/>
  <c r="U49" i="6" s="1"/>
  <c r="T30" i="6"/>
  <c r="T47" i="6" s="1"/>
  <c r="T49" i="6" s="1"/>
  <c r="S30" i="6"/>
  <c r="R30" i="6"/>
  <c r="Q30" i="6"/>
  <c r="Q47" i="6" s="1"/>
  <c r="Q49" i="6" s="1"/>
  <c r="X14" i="6"/>
  <c r="W14" i="6"/>
  <c r="V14" i="6"/>
  <c r="U14" i="6"/>
  <c r="T14" i="6"/>
  <c r="S14" i="6"/>
  <c r="R14" i="6"/>
  <c r="Q14" i="6"/>
  <c r="X7" i="6"/>
  <c r="W7" i="6"/>
  <c r="V7" i="6"/>
  <c r="U7" i="6"/>
  <c r="T7" i="6"/>
  <c r="S7" i="6"/>
  <c r="R7" i="6"/>
  <c r="R24" i="6" s="1"/>
  <c r="R26" i="6" s="1"/>
  <c r="Q7" i="6"/>
  <c r="L71" i="6"/>
  <c r="K71" i="6"/>
  <c r="J71" i="6"/>
  <c r="I71" i="6"/>
  <c r="L69" i="6"/>
  <c r="K69" i="6"/>
  <c r="J69" i="6"/>
  <c r="I69" i="6"/>
  <c r="L68" i="6"/>
  <c r="K68" i="6"/>
  <c r="J68" i="6"/>
  <c r="I68" i="6"/>
  <c r="L67" i="6"/>
  <c r="K67" i="6"/>
  <c r="J67" i="6"/>
  <c r="I67" i="6"/>
  <c r="L66" i="6"/>
  <c r="K66" i="6"/>
  <c r="J66" i="6"/>
  <c r="I66" i="6"/>
  <c r="L65" i="6"/>
  <c r="K65" i="6"/>
  <c r="J65" i="6"/>
  <c r="I65" i="6"/>
  <c r="L64" i="6"/>
  <c r="K64" i="6"/>
  <c r="J64" i="6"/>
  <c r="I64" i="6"/>
  <c r="L63" i="6"/>
  <c r="K63" i="6"/>
  <c r="J63" i="6"/>
  <c r="I63" i="6"/>
  <c r="L62" i="6"/>
  <c r="K62" i="6"/>
  <c r="J62" i="6"/>
  <c r="I62" i="6"/>
  <c r="L61" i="6"/>
  <c r="K61" i="6"/>
  <c r="J61" i="6"/>
  <c r="J60" i="6" s="1"/>
  <c r="I61" i="6"/>
  <c r="L60" i="6"/>
  <c r="L59" i="6"/>
  <c r="K59" i="6"/>
  <c r="J59" i="6"/>
  <c r="I59" i="6"/>
  <c r="L58" i="6"/>
  <c r="K58" i="6"/>
  <c r="J58" i="6"/>
  <c r="I58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K53" i="6" s="1"/>
  <c r="J54" i="6"/>
  <c r="I54" i="6"/>
  <c r="F71" i="6"/>
  <c r="E71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59" i="6"/>
  <c r="E59" i="6"/>
  <c r="F58" i="6"/>
  <c r="E58" i="6"/>
  <c r="F57" i="6"/>
  <c r="E57" i="6"/>
  <c r="F56" i="6"/>
  <c r="E56" i="6"/>
  <c r="F55" i="6"/>
  <c r="E55" i="6"/>
  <c r="F54" i="6"/>
  <c r="E54" i="6"/>
  <c r="D56" i="6"/>
  <c r="L37" i="6"/>
  <c r="K37" i="6"/>
  <c r="J37" i="6"/>
  <c r="I37" i="6"/>
  <c r="F37" i="6"/>
  <c r="E37" i="6"/>
  <c r="D7" i="6"/>
  <c r="E14" i="6"/>
  <c r="D14" i="6"/>
  <c r="D30" i="6"/>
  <c r="L30" i="6"/>
  <c r="K30" i="6"/>
  <c r="K47" i="6" s="1"/>
  <c r="K49" i="6" s="1"/>
  <c r="J30" i="6"/>
  <c r="I30" i="6"/>
  <c r="F30" i="6"/>
  <c r="E30" i="6"/>
  <c r="L14" i="6"/>
  <c r="K14" i="6"/>
  <c r="J14" i="6"/>
  <c r="I14" i="6"/>
  <c r="F14" i="6"/>
  <c r="L7" i="6"/>
  <c r="K7" i="6"/>
  <c r="J7" i="6"/>
  <c r="I7" i="6"/>
  <c r="F7" i="6"/>
  <c r="E7" i="6"/>
  <c r="AG60" i="6" l="1"/>
  <c r="AI60" i="6"/>
  <c r="AI24" i="6"/>
  <c r="AI26" i="6" s="1"/>
  <c r="AI53" i="6"/>
  <c r="AH24" i="6"/>
  <c r="AH26" i="6" s="1"/>
  <c r="AH60" i="6"/>
  <c r="AH53" i="6"/>
  <c r="AG24" i="6"/>
  <c r="AG26" i="6" s="1"/>
  <c r="AG53" i="6"/>
  <c r="AG70" i="6" s="1"/>
  <c r="AG72" i="6" s="1"/>
  <c r="AF60" i="6"/>
  <c r="AF70" i="6" s="1"/>
  <c r="AF72" i="6" s="1"/>
  <c r="AE60" i="6"/>
  <c r="AE24" i="6"/>
  <c r="AE26" i="6" s="1"/>
  <c r="AE53" i="6"/>
  <c r="AD60" i="6"/>
  <c r="AD24" i="6"/>
  <c r="AD26" i="6" s="1"/>
  <c r="AD53" i="6"/>
  <c r="AC24" i="6"/>
  <c r="AC26" i="6" s="1"/>
  <c r="AC60" i="6"/>
  <c r="AC53" i="6"/>
  <c r="AB60" i="6"/>
  <c r="AA24" i="6"/>
  <c r="AA26" i="6" s="1"/>
  <c r="AA60" i="6"/>
  <c r="AA53" i="6"/>
  <c r="AA47" i="6"/>
  <c r="AA49" i="6" s="1"/>
  <c r="X60" i="6"/>
  <c r="X70" i="6" s="1"/>
  <c r="X72" i="6" s="1"/>
  <c r="X24" i="6"/>
  <c r="X26" i="6" s="1"/>
  <c r="W60" i="6"/>
  <c r="W70" i="6" s="1"/>
  <c r="W72" i="6" s="1"/>
  <c r="W24" i="6"/>
  <c r="W26" i="6" s="1"/>
  <c r="V70" i="6"/>
  <c r="V72" i="6" s="1"/>
  <c r="V24" i="6"/>
  <c r="V26" i="6" s="1"/>
  <c r="U70" i="6"/>
  <c r="U72" i="6" s="1"/>
  <c r="U24" i="6"/>
  <c r="U26" i="6" s="1"/>
  <c r="T24" i="6"/>
  <c r="T26" i="6" s="1"/>
  <c r="T60" i="6"/>
  <c r="T70" i="6" s="1"/>
  <c r="T72" i="6" s="1"/>
  <c r="S24" i="6"/>
  <c r="S26" i="6" s="1"/>
  <c r="S70" i="6"/>
  <c r="S72" i="6" s="1"/>
  <c r="R60" i="6"/>
  <c r="R70" i="6" s="1"/>
  <c r="R72" i="6" s="1"/>
  <c r="Q70" i="6"/>
  <c r="Q72" i="6" s="1"/>
  <c r="Q24" i="6"/>
  <c r="Q26" i="6" s="1"/>
  <c r="K60" i="6"/>
  <c r="K70" i="6" s="1"/>
  <c r="K72" i="6" s="1"/>
  <c r="I60" i="6"/>
  <c r="E47" i="6"/>
  <c r="E49" i="6" s="1"/>
  <c r="L53" i="6"/>
  <c r="L70" i="6" s="1"/>
  <c r="L72" i="6" s="1"/>
  <c r="AB70" i="6"/>
  <c r="AB72" i="6" s="1"/>
  <c r="K24" i="6"/>
  <c r="K26" i="6" s="1"/>
  <c r="C7" i="6"/>
  <c r="D24" i="6"/>
  <c r="D26" i="6" s="1"/>
  <c r="J47" i="6"/>
  <c r="J49" i="6" s="1"/>
  <c r="S47" i="6"/>
  <c r="S49" i="6" s="1"/>
  <c r="W47" i="6"/>
  <c r="W49" i="6" s="1"/>
  <c r="I53" i="6"/>
  <c r="J53" i="6"/>
  <c r="J70" i="6" s="1"/>
  <c r="J72" i="6" s="1"/>
  <c r="F24" i="6"/>
  <c r="F26" i="6" s="1"/>
  <c r="J24" i="6"/>
  <c r="J26" i="6" s="1"/>
  <c r="R47" i="6"/>
  <c r="R49" i="6" s="1"/>
  <c r="V47" i="6"/>
  <c r="V49" i="6" s="1"/>
  <c r="L24" i="6"/>
  <c r="L26" i="6" s="1"/>
  <c r="I47" i="6"/>
  <c r="I49" i="6" s="1"/>
  <c r="I24" i="6"/>
  <c r="I26" i="6" s="1"/>
  <c r="L47" i="6"/>
  <c r="L49" i="6" s="1"/>
  <c r="E24" i="6"/>
  <c r="E26" i="6" s="1"/>
  <c r="F47" i="6"/>
  <c r="F49" i="6" s="1"/>
  <c r="F53" i="6"/>
  <c r="F60" i="6"/>
  <c r="E60" i="6"/>
  <c r="E53" i="6"/>
  <c r="AI70" i="6" l="1"/>
  <c r="AI72" i="6" s="1"/>
  <c r="AH70" i="6"/>
  <c r="AH72" i="6" s="1"/>
  <c r="AE70" i="6"/>
  <c r="AE72" i="6" s="1"/>
  <c r="AD70" i="6"/>
  <c r="AD72" i="6" s="1"/>
  <c r="AC70" i="6"/>
  <c r="AC72" i="6" s="1"/>
  <c r="AA70" i="6"/>
  <c r="AA72" i="6" s="1"/>
  <c r="I70" i="6"/>
  <c r="I72" i="6" s="1"/>
  <c r="E70" i="6"/>
  <c r="E72" i="6" s="1"/>
  <c r="F70" i="6"/>
  <c r="F72" i="6" s="1"/>
  <c r="Z71" i="6"/>
  <c r="P71" i="6"/>
  <c r="O71" i="6"/>
  <c r="M71" i="6"/>
  <c r="H71" i="6"/>
  <c r="G71" i="6"/>
  <c r="C71" i="6"/>
  <c r="Z69" i="6"/>
  <c r="P69" i="6"/>
  <c r="O69" i="6"/>
  <c r="M69" i="6"/>
  <c r="H69" i="6"/>
  <c r="G69" i="6"/>
  <c r="D69" i="6"/>
  <c r="C69" i="6"/>
  <c r="Z68" i="6"/>
  <c r="P68" i="6"/>
  <c r="O68" i="6"/>
  <c r="M68" i="6"/>
  <c r="H68" i="6"/>
  <c r="G68" i="6"/>
  <c r="D68" i="6"/>
  <c r="C68" i="6"/>
  <c r="Z67" i="6"/>
  <c r="P67" i="6"/>
  <c r="O67" i="6"/>
  <c r="M67" i="6"/>
  <c r="H67" i="6"/>
  <c r="G67" i="6"/>
  <c r="D67" i="6"/>
  <c r="C67" i="6"/>
  <c r="Z66" i="6"/>
  <c r="P66" i="6"/>
  <c r="O66" i="6"/>
  <c r="M66" i="6"/>
  <c r="H66" i="6"/>
  <c r="G66" i="6"/>
  <c r="D66" i="6"/>
  <c r="C66" i="6"/>
  <c r="Z65" i="6"/>
  <c r="P65" i="6"/>
  <c r="O65" i="6"/>
  <c r="M65" i="6"/>
  <c r="H65" i="6"/>
  <c r="G65" i="6"/>
  <c r="D65" i="6"/>
  <c r="C65" i="6"/>
  <c r="Z64" i="6"/>
  <c r="P64" i="6"/>
  <c r="O64" i="6"/>
  <c r="M64" i="6"/>
  <c r="H64" i="6"/>
  <c r="G64" i="6"/>
  <c r="D64" i="6"/>
  <c r="C64" i="6"/>
  <c r="Z63" i="6"/>
  <c r="P63" i="6"/>
  <c r="O63" i="6"/>
  <c r="M63" i="6"/>
  <c r="H63" i="6"/>
  <c r="G63" i="6"/>
  <c r="D63" i="6"/>
  <c r="C63" i="6"/>
  <c r="Z62" i="6"/>
  <c r="P62" i="6"/>
  <c r="O62" i="6"/>
  <c r="M62" i="6"/>
  <c r="H62" i="6"/>
  <c r="G62" i="6"/>
  <c r="D62" i="6"/>
  <c r="Z61" i="6"/>
  <c r="P61" i="6"/>
  <c r="O61" i="6"/>
  <c r="M61" i="6"/>
  <c r="H61" i="6"/>
  <c r="G61" i="6"/>
  <c r="D61" i="6"/>
  <c r="Z59" i="6"/>
  <c r="P59" i="6"/>
  <c r="O59" i="6"/>
  <c r="M59" i="6"/>
  <c r="H59" i="6"/>
  <c r="G59" i="6"/>
  <c r="D59" i="6"/>
  <c r="C59" i="6"/>
  <c r="Z58" i="6"/>
  <c r="P58" i="6"/>
  <c r="O58" i="6"/>
  <c r="M58" i="6"/>
  <c r="H58" i="6"/>
  <c r="G58" i="6"/>
  <c r="D58" i="6"/>
  <c r="C58" i="6"/>
  <c r="Z57" i="6"/>
  <c r="P57" i="6"/>
  <c r="O57" i="6"/>
  <c r="M57" i="6"/>
  <c r="H57" i="6"/>
  <c r="G57" i="6"/>
  <c r="D57" i="6"/>
  <c r="C57" i="6"/>
  <c r="Z56" i="6"/>
  <c r="P56" i="6"/>
  <c r="O56" i="6"/>
  <c r="M56" i="6"/>
  <c r="H56" i="6"/>
  <c r="G56" i="6"/>
  <c r="C56" i="6"/>
  <c r="Z55" i="6"/>
  <c r="P55" i="6"/>
  <c r="O55" i="6"/>
  <c r="AL55" i="6" s="1"/>
  <c r="M55" i="6"/>
  <c r="H55" i="6"/>
  <c r="G55" i="6"/>
  <c r="D55" i="6"/>
  <c r="C55" i="6"/>
  <c r="Z54" i="6"/>
  <c r="P54" i="6"/>
  <c r="O54" i="6"/>
  <c r="M54" i="6"/>
  <c r="H54" i="6"/>
  <c r="G54" i="6"/>
  <c r="D54" i="6"/>
  <c r="C54" i="6"/>
  <c r="AL46" i="6"/>
  <c r="AK46" i="6"/>
  <c r="AL45" i="6"/>
  <c r="AK45" i="6"/>
  <c r="AL44" i="6"/>
  <c r="AK44" i="6"/>
  <c r="AL43" i="6"/>
  <c r="AK43" i="6"/>
  <c r="AL42" i="6"/>
  <c r="AK42" i="6"/>
  <c r="AL41" i="6"/>
  <c r="AK41" i="6"/>
  <c r="AL40" i="6"/>
  <c r="AK40" i="6"/>
  <c r="AL39" i="6"/>
  <c r="AK39" i="6"/>
  <c r="AL38" i="6"/>
  <c r="AK38" i="6"/>
  <c r="AF37" i="6"/>
  <c r="Z37" i="6"/>
  <c r="O37" i="6"/>
  <c r="AL37" i="6" s="1"/>
  <c r="M37" i="6"/>
  <c r="H37" i="6"/>
  <c r="G37" i="6"/>
  <c r="D37" i="6"/>
  <c r="C37" i="6"/>
  <c r="AL36" i="6"/>
  <c r="AK36" i="6"/>
  <c r="AL35" i="6"/>
  <c r="AK35" i="6"/>
  <c r="AL34" i="6"/>
  <c r="AK34" i="6"/>
  <c r="AL33" i="6"/>
  <c r="AK33" i="6"/>
  <c r="AL32" i="6"/>
  <c r="AK32" i="6"/>
  <c r="AL31" i="6"/>
  <c r="AK31" i="6"/>
  <c r="Z30" i="6"/>
  <c r="Z47" i="6" s="1"/>
  <c r="Z49" i="6" s="1"/>
  <c r="P30" i="6"/>
  <c r="P47" i="6" s="1"/>
  <c r="P49" i="6" s="1"/>
  <c r="O30" i="6"/>
  <c r="M30" i="6"/>
  <c r="H30" i="6"/>
  <c r="H47" i="6" s="1"/>
  <c r="H49" i="6" s="1"/>
  <c r="G30" i="6"/>
  <c r="D47" i="6"/>
  <c r="D49" i="6" s="1"/>
  <c r="C30" i="6"/>
  <c r="AL23" i="6"/>
  <c r="AK23" i="6"/>
  <c r="AL22" i="6"/>
  <c r="AK22" i="6"/>
  <c r="AL21" i="6"/>
  <c r="AK21" i="6"/>
  <c r="AL20" i="6"/>
  <c r="AK20" i="6"/>
  <c r="AL19" i="6"/>
  <c r="AK19" i="6"/>
  <c r="AL18" i="6"/>
  <c r="AK18" i="6"/>
  <c r="AL17" i="6"/>
  <c r="AK17" i="6"/>
  <c r="AL16" i="6"/>
  <c r="AK16" i="6"/>
  <c r="AL15" i="6"/>
  <c r="AK15" i="6"/>
  <c r="AF14" i="6"/>
  <c r="Z14" i="6"/>
  <c r="P14" i="6"/>
  <c r="O14" i="6"/>
  <c r="M14" i="6"/>
  <c r="H14" i="6"/>
  <c r="G14" i="6"/>
  <c r="C14" i="6"/>
  <c r="C24" i="6" s="1"/>
  <c r="C26" i="6" s="1"/>
  <c r="AL13" i="6"/>
  <c r="AK13" i="6"/>
  <c r="AL12" i="6"/>
  <c r="AK12" i="6"/>
  <c r="AL11" i="6"/>
  <c r="AK11" i="6"/>
  <c r="AL10" i="6"/>
  <c r="AK10" i="6"/>
  <c r="AL9" i="6"/>
  <c r="AK9" i="6"/>
  <c r="AL8" i="6"/>
  <c r="AK8" i="6"/>
  <c r="AF7" i="6"/>
  <c r="Z7" i="6"/>
  <c r="P7" i="6"/>
  <c r="O7" i="6"/>
  <c r="M7" i="6"/>
  <c r="H7" i="6"/>
  <c r="G7" i="6"/>
  <c r="AK56" i="6" l="1"/>
  <c r="Z53" i="6"/>
  <c r="G24" i="6"/>
  <c r="G26" i="6" s="1"/>
  <c r="P24" i="6"/>
  <c r="P26" i="6" s="1"/>
  <c r="AF47" i="6"/>
  <c r="AF49" i="6" s="1"/>
  <c r="AL65" i="6"/>
  <c r="AL69" i="6"/>
  <c r="O24" i="6"/>
  <c r="O26" i="6" s="1"/>
  <c r="AK26" i="6" s="1"/>
  <c r="AL7" i="6"/>
  <c r="AL58" i="6"/>
  <c r="AL62" i="6"/>
  <c r="AL66" i="6"/>
  <c r="G47" i="6"/>
  <c r="G49" i="6" s="1"/>
  <c r="Z60" i="6"/>
  <c r="AK7" i="6"/>
  <c r="M24" i="6"/>
  <c r="M26" i="6" s="1"/>
  <c r="AL54" i="6"/>
  <c r="AL59" i="6"/>
  <c r="P60" i="6"/>
  <c r="AK63" i="6"/>
  <c r="AL67" i="6"/>
  <c r="AL57" i="6"/>
  <c r="P53" i="6"/>
  <c r="AL56" i="6"/>
  <c r="AL68" i="6"/>
  <c r="D53" i="6"/>
  <c r="AK55" i="6"/>
  <c r="AK59" i="6"/>
  <c r="AL64" i="6"/>
  <c r="G53" i="6"/>
  <c r="AL63" i="6"/>
  <c r="AK66" i="6"/>
  <c r="AK67" i="6"/>
  <c r="C61" i="6"/>
  <c r="C47" i="6"/>
  <c r="C49" i="6" s="1"/>
  <c r="AK57" i="6"/>
  <c r="AK30" i="6"/>
  <c r="AK14" i="6"/>
  <c r="M53" i="6"/>
  <c r="G60" i="6"/>
  <c r="H60" i="6"/>
  <c r="AK69" i="6"/>
  <c r="AK65" i="6"/>
  <c r="AK64" i="6"/>
  <c r="AK68" i="6"/>
  <c r="M60" i="6"/>
  <c r="D60" i="6"/>
  <c r="H53" i="6"/>
  <c r="H24" i="6"/>
  <c r="H26" i="6" s="1"/>
  <c r="AF24" i="6"/>
  <c r="AF26" i="6" s="1"/>
  <c r="AL14" i="6"/>
  <c r="Z24" i="6"/>
  <c r="Z26" i="6" s="1"/>
  <c r="AL30" i="6"/>
  <c r="AK37" i="6"/>
  <c r="M47" i="6"/>
  <c r="M49" i="6" s="1"/>
  <c r="C53" i="6"/>
  <c r="AK54" i="6"/>
  <c r="AK58" i="6"/>
  <c r="O60" i="6"/>
  <c r="AL61" i="6"/>
  <c r="AK62" i="6"/>
  <c r="O47" i="6"/>
  <c r="O49" i="6" s="1"/>
  <c r="AL49" i="6" s="1"/>
  <c r="O53" i="6"/>
  <c r="P70" i="6" l="1"/>
  <c r="P72" i="6" s="1"/>
  <c r="AK61" i="6"/>
  <c r="C60" i="6"/>
  <c r="C70" i="6" s="1"/>
  <c r="C72" i="6" s="1"/>
  <c r="AL60" i="6"/>
  <c r="Z70" i="6"/>
  <c r="Z72" i="6" s="1"/>
  <c r="AL26" i="6"/>
  <c r="AK49" i="6"/>
  <c r="H70" i="6"/>
  <c r="H72" i="6" s="1"/>
  <c r="G70" i="6"/>
  <c r="G72" i="6" s="1"/>
  <c r="D70" i="6"/>
  <c r="D72" i="6" s="1"/>
  <c r="M70" i="6"/>
  <c r="M72" i="6" s="1"/>
  <c r="AK53" i="6"/>
  <c r="O70" i="6"/>
  <c r="O72" i="6" s="1"/>
  <c r="AL53" i="6"/>
  <c r="AK60" i="6" l="1"/>
  <c r="AK72" i="6"/>
  <c r="AL72" i="6"/>
  <c r="F20" i="5" l="1"/>
  <c r="K55" i="1" l="1"/>
  <c r="K50" i="1"/>
  <c r="K57" i="1" s="1"/>
  <c r="D60" i="1"/>
  <c r="D53" i="1"/>
  <c r="D62" i="1" s="1"/>
  <c r="Q34" i="2" l="1"/>
  <c r="P34" i="2"/>
  <c r="N34" i="2"/>
  <c r="K34" i="2"/>
  <c r="J34" i="2"/>
  <c r="H34" i="2"/>
  <c r="E34" i="2"/>
  <c r="R34" i="2" l="1"/>
  <c r="F34" i="2"/>
  <c r="O34" i="2"/>
  <c r="L34" i="2"/>
  <c r="I34" i="2"/>
  <c r="R41" i="2"/>
  <c r="R40" i="2"/>
  <c r="R39" i="2"/>
  <c r="Q38" i="2"/>
  <c r="Q33" i="2" s="1"/>
  <c r="P38" i="2"/>
  <c r="P33" i="2" s="1"/>
  <c r="R32" i="2"/>
  <c r="R31" i="2"/>
  <c r="R30" i="2"/>
  <c r="R29" i="2"/>
  <c r="R28" i="2"/>
  <c r="R27" i="2"/>
  <c r="R26" i="2"/>
  <c r="R25" i="2"/>
  <c r="R24" i="2"/>
  <c r="R23" i="2"/>
  <c r="R22" i="2"/>
  <c r="R20" i="2"/>
  <c r="R19" i="2"/>
  <c r="R18" i="2"/>
  <c r="R17" i="2"/>
  <c r="R16" i="2"/>
  <c r="R15" i="2"/>
  <c r="R21" i="2" s="1"/>
  <c r="R14" i="2"/>
  <c r="R13" i="2"/>
  <c r="R38" i="2" l="1"/>
  <c r="Q35" i="2"/>
  <c r="Q37" i="2" s="1"/>
  <c r="P35" i="2"/>
  <c r="P36" i="2"/>
  <c r="R36" i="2" s="1"/>
  <c r="R33" i="2"/>
  <c r="R35" i="2" l="1"/>
  <c r="P37" i="2"/>
  <c r="R37" i="2" s="1"/>
  <c r="O41" i="2"/>
  <c r="O40" i="2"/>
  <c r="O39" i="2"/>
  <c r="N38" i="2"/>
  <c r="N33" i="2" s="1"/>
  <c r="M38" i="2"/>
  <c r="M33" i="2" s="1"/>
  <c r="M36" i="2" s="1"/>
  <c r="O36" i="2" s="1"/>
  <c r="O32" i="2"/>
  <c r="O31" i="2"/>
  <c r="O30" i="2"/>
  <c r="O29" i="2"/>
  <c r="O28" i="2"/>
  <c r="O27" i="2"/>
  <c r="O26" i="2"/>
  <c r="O25" i="2"/>
  <c r="O24" i="2"/>
  <c r="O23" i="2"/>
  <c r="O22" i="2"/>
  <c r="O20" i="2"/>
  <c r="O19" i="2"/>
  <c r="O18" i="2"/>
  <c r="O17" i="2"/>
  <c r="O16" i="2"/>
  <c r="O15" i="2"/>
  <c r="O14" i="2"/>
  <c r="O13" i="2"/>
  <c r="L41" i="2"/>
  <c r="I41" i="2"/>
  <c r="F41" i="2"/>
  <c r="L40" i="2"/>
  <c r="I40" i="2"/>
  <c r="F40" i="2"/>
  <c r="L39" i="2"/>
  <c r="I39" i="2"/>
  <c r="F39" i="2"/>
  <c r="K38" i="2"/>
  <c r="K33" i="2" s="1"/>
  <c r="J38" i="2"/>
  <c r="H38" i="2"/>
  <c r="H33" i="2" s="1"/>
  <c r="G38" i="2"/>
  <c r="I38" i="2" s="1"/>
  <c r="E38" i="2"/>
  <c r="E33" i="2" s="1"/>
  <c r="D38" i="2"/>
  <c r="D33" i="2" s="1"/>
  <c r="L32" i="2"/>
  <c r="I32" i="2"/>
  <c r="L31" i="2"/>
  <c r="I31" i="2"/>
  <c r="F31" i="2"/>
  <c r="L30" i="2"/>
  <c r="I30" i="2"/>
  <c r="F30" i="2"/>
  <c r="L29" i="2"/>
  <c r="I29" i="2"/>
  <c r="F29" i="2"/>
  <c r="L28" i="2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F24" i="2"/>
  <c r="L23" i="2"/>
  <c r="I23" i="2"/>
  <c r="F23" i="2"/>
  <c r="L22" i="2"/>
  <c r="I22" i="2"/>
  <c r="F22" i="2"/>
  <c r="L20" i="2"/>
  <c r="I20" i="2"/>
  <c r="F20" i="2"/>
  <c r="L19" i="2"/>
  <c r="I19" i="2"/>
  <c r="F19" i="2"/>
  <c r="L18" i="2"/>
  <c r="I18" i="2"/>
  <c r="F18" i="2"/>
  <c r="L17" i="2"/>
  <c r="I17" i="2"/>
  <c r="F17" i="2"/>
  <c r="L16" i="2"/>
  <c r="I16" i="2"/>
  <c r="F16" i="2"/>
  <c r="L15" i="2"/>
  <c r="I15" i="2"/>
  <c r="F15" i="2"/>
  <c r="L14" i="2"/>
  <c r="I14" i="2"/>
  <c r="F14" i="2"/>
  <c r="L13" i="2"/>
  <c r="I13" i="2"/>
  <c r="F13" i="2"/>
  <c r="G33" i="2" l="1"/>
  <c r="I21" i="2"/>
  <c r="O21" i="2"/>
  <c r="L21" i="2"/>
  <c r="F33" i="2"/>
  <c r="M35" i="2"/>
  <c r="M37" i="2" s="1"/>
  <c r="I33" i="2"/>
  <c r="L38" i="2"/>
  <c r="K35" i="2"/>
  <c r="K37" i="2" s="1"/>
  <c r="O33" i="2"/>
  <c r="N35" i="2"/>
  <c r="N37" i="2" s="1"/>
  <c r="O38" i="2"/>
  <c r="H35" i="2"/>
  <c r="H37" i="2" s="1"/>
  <c r="E35" i="2"/>
  <c r="E37" i="2" s="1"/>
  <c r="G35" i="2"/>
  <c r="F38" i="2"/>
  <c r="J33" i="2"/>
  <c r="O35" i="2" l="1"/>
  <c r="O37" i="2"/>
  <c r="D36" i="2"/>
  <c r="F36" i="2" s="1"/>
  <c r="I35" i="2"/>
  <c r="L33" i="2"/>
  <c r="G36" i="2"/>
  <c r="I36" i="2" s="1"/>
  <c r="D35" i="2"/>
  <c r="G37" i="2" l="1"/>
  <c r="I37" i="2" s="1"/>
  <c r="J36" i="2"/>
  <c r="L36" i="2" s="1"/>
  <c r="J35" i="2"/>
  <c r="D37" i="2"/>
  <c r="F37" i="2" s="1"/>
  <c r="F35" i="2"/>
  <c r="L35" i="2" l="1"/>
  <c r="J37" i="2"/>
  <c r="L37" i="2" s="1"/>
</calcChain>
</file>

<file path=xl/sharedStrings.xml><?xml version="1.0" encoding="utf-8"?>
<sst xmlns="http://schemas.openxmlformats.org/spreadsheetml/2006/main" count="514" uniqueCount="200">
  <si>
    <t>1.</t>
  </si>
  <si>
    <t>Tržby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</si>
  <si>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</si>
  <si>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</si>
  <si>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</si>
  <si>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</si>
  <si>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</si>
  <si>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</si>
  <si>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</si>
  <si>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</si>
  <si>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</si>
  <si>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</si>
  <si>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</si>
  <si>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</si>
  <si>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</si>
  <si>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</si>
  <si>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</si>
  <si>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</si>
  <si>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</si>
  <si>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</si>
  <si>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</si>
  <si>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</si>
  <si>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</si>
  <si>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</si>
  <si>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</si>
  <si>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</si>
  <si>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</si>
  <si>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</si>
  <si>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</si>
  <si>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</si>
  <si>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</si>
  <si>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</si>
  <si>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</si>
  <si>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</si>
  <si>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</si>
  <si>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Odvod</t>
  </si>
  <si>
    <t>20.</t>
  </si>
  <si>
    <t>21.</t>
  </si>
  <si>
    <t>22.</t>
  </si>
  <si>
    <t>Investiční dotace</t>
  </si>
  <si>
    <t xml:space="preserve">Poř.č. řádku </t>
  </si>
  <si>
    <t>Ukazatel</t>
  </si>
  <si>
    <t>Hlavní činnost</t>
  </si>
  <si>
    <t>Doplňková činnost</t>
  </si>
  <si>
    <t>Celkem</t>
  </si>
  <si>
    <t>a</t>
  </si>
  <si>
    <t>sl.1</t>
  </si>
  <si>
    <t>sl.2</t>
  </si>
  <si>
    <t>sl.3</t>
  </si>
  <si>
    <t>sl.1+sl.2</t>
  </si>
  <si>
    <t>v tom:  mzdy zaměstnanců</t>
  </si>
  <si>
    <t>v tom:  z provozu</t>
  </si>
  <si>
    <t>Sestavil dne:</t>
  </si>
  <si>
    <t>Schválil dne:</t>
  </si>
  <si>
    <t>Podpis:</t>
  </si>
  <si>
    <t>tis.Kč</t>
  </si>
  <si>
    <t>příděl z rezervního fondu organizace</t>
  </si>
  <si>
    <t>příděl z odpisů dlouhodobého majetku</t>
  </si>
  <si>
    <t>investiční dotace z rozpočtu zřizovatele</t>
  </si>
  <si>
    <t>investiční dotace ze SR a SF</t>
  </si>
  <si>
    <t>ostatní zdroje</t>
  </si>
  <si>
    <t>ZDROJE FONDU CELKEM</t>
  </si>
  <si>
    <t>opravy a údržba nemovitého majetku</t>
  </si>
  <si>
    <t>rekonstrukce a modernizace</t>
  </si>
  <si>
    <t>pořízení dlouhodobého majetku</t>
  </si>
  <si>
    <t>ostatní použití (např. splátky inv.úvěrů)</t>
  </si>
  <si>
    <t>odvod do rozpočtu zřizovatele</t>
  </si>
  <si>
    <t>POUŽITÍ FONDU CELKEM</t>
  </si>
  <si>
    <t>TVORBA A POUŽITÍ FONDU INVESTIC</t>
  </si>
  <si>
    <t>A) Provozní hospodaření</t>
  </si>
  <si>
    <t>B) Použití fondů</t>
  </si>
  <si>
    <t>ostatní zdroje fondu</t>
  </si>
  <si>
    <t>použití fondu na provozní náklady</t>
  </si>
  <si>
    <t>ost.použití fondu (mj.ztráta z min.let)</t>
  </si>
  <si>
    <t>FOND ODMĚN</t>
  </si>
  <si>
    <t>tis. Kč</t>
  </si>
  <si>
    <t>REZERVNÍ FOND</t>
  </si>
  <si>
    <t xml:space="preserve">příděl z hospodářského výsledku </t>
  </si>
  <si>
    <t>příděl z hospodářského výsledku</t>
  </si>
  <si>
    <t xml:space="preserve">Zdroje fondu celkem </t>
  </si>
  <si>
    <t xml:space="preserve">použití fondu do investičního fondu použití fondu </t>
  </si>
  <si>
    <t>na mzdy</t>
  </si>
  <si>
    <t xml:space="preserve">Použití rezervního fondu celkem </t>
  </si>
  <si>
    <t>Použití fondu odměn celkem</t>
  </si>
  <si>
    <t>Název organizace:</t>
  </si>
  <si>
    <t>IČO:</t>
  </si>
  <si>
    <t>Sídlo:</t>
  </si>
  <si>
    <t>Rozpočet na rok Y-1</t>
  </si>
  <si>
    <t>sl.4</t>
  </si>
  <si>
    <t>sl.3+sl.4</t>
  </si>
  <si>
    <t>Poslední upr rozpočet Y-1</t>
  </si>
  <si>
    <t>Skutečnost Y-1</t>
  </si>
  <si>
    <t>Akt. předp. Skutečn. roku y-1</t>
  </si>
  <si>
    <t>Rozpočet na rok Y</t>
  </si>
  <si>
    <t>Příspěvek zřizovatele - provozní</t>
  </si>
  <si>
    <t>Příspěvek zřizovatele - účelový (s vyúčtováním)</t>
  </si>
  <si>
    <t>Zúčtování 403 do výnosů</t>
  </si>
  <si>
    <t>Zapojení fondů do výnosů</t>
  </si>
  <si>
    <t>23.</t>
  </si>
  <si>
    <t>24.</t>
  </si>
  <si>
    <t>25.</t>
  </si>
  <si>
    <t>26.</t>
  </si>
  <si>
    <t>sl.5</t>
  </si>
  <si>
    <t>sl.6</t>
  </si>
  <si>
    <t>sl.5+sl.6</t>
  </si>
  <si>
    <t>sl.7</t>
  </si>
  <si>
    <t>sl.8</t>
  </si>
  <si>
    <t>sl.7+sl.8</t>
  </si>
  <si>
    <t>sl.9</t>
  </si>
  <si>
    <t>sl.10</t>
  </si>
  <si>
    <t>sl.9+sl.10</t>
  </si>
  <si>
    <t>Rozpočet předchozího roku</t>
  </si>
  <si>
    <t>Rozpočet aktuálního roku</t>
  </si>
  <si>
    <t>Výhled roku X</t>
  </si>
  <si>
    <t>Výhled roku X+1</t>
  </si>
  <si>
    <t>Výsledek hospodaření bez příspěvku zřizovatele</t>
  </si>
  <si>
    <t>27.</t>
  </si>
  <si>
    <t>28.</t>
  </si>
  <si>
    <t>29.</t>
  </si>
  <si>
    <t>Výsledek hospodaření</t>
  </si>
  <si>
    <t>Odvod (rozpis viz níže)</t>
  </si>
  <si>
    <t>Tržby  601-609</t>
  </si>
  <si>
    <t>Výhled roku X+2</t>
  </si>
  <si>
    <t>Rozpočet výnosů a nákladů příspěvkových organizací na rok 2018</t>
  </si>
  <si>
    <t>Střednědobý výhled rozpočtu hospodaření příspěvkové organizace na období let 2019-2020</t>
  </si>
  <si>
    <t>Příspěvek zřizovatele - pouze účelový (s vyúčtováním)</t>
  </si>
  <si>
    <t>Provozní dotace z jiných zdrojů (jiní poskytovatelé než SMCH)</t>
  </si>
  <si>
    <t>Provozní dotace z jiných zdrojů mimo SMCH</t>
  </si>
  <si>
    <t>Priorita (A/B/C)</t>
  </si>
  <si>
    <t>Odhad nákladů</t>
  </si>
  <si>
    <t>Požadavek do zásobníku projektů, investic v dalších letech</t>
  </si>
  <si>
    <t>E) Požadavek do zásobníku projektů, investic v dalších letech (pro střednědobý výhled)</t>
  </si>
  <si>
    <t>Požadavek na čerpání fondu oprav</t>
  </si>
  <si>
    <t>Požadavek na investice</t>
  </si>
  <si>
    <t>Příloha k návrhu rozpočtu příspěvkových organizací pro rok 2018</t>
  </si>
  <si>
    <t>C) Požadavek na čerpání fondu oprav majetku města v roce 2018</t>
  </si>
  <si>
    <t>D) Požadavek na investice v roce 2018</t>
  </si>
  <si>
    <t>podpis</t>
  </si>
  <si>
    <t>skutečnost 2016</t>
  </si>
  <si>
    <t>plán 2017</t>
  </si>
  <si>
    <t>plán 2018</t>
  </si>
  <si>
    <t>Meziroční index</t>
  </si>
  <si>
    <t>Střediska</t>
  </si>
  <si>
    <t>Název účtu/středisko</t>
  </si>
  <si>
    <t>skut. 2016</t>
  </si>
  <si>
    <t>2017/2016</t>
  </si>
  <si>
    <t>2018/2017</t>
  </si>
  <si>
    <t>VÝNOSY CELKEM</t>
  </si>
  <si>
    <t>Provozní příspěvek zřizovatel</t>
  </si>
  <si>
    <t>Investiční příspěvek zřizovatel (informativní údaj, nevstupuje do součtů)</t>
  </si>
  <si>
    <t>Provozní příspěvek ostatní</t>
  </si>
  <si>
    <t>Investiční dotace ostatní</t>
  </si>
  <si>
    <t>Účet 601 - Výnosy z prodeje vlastních výrobků</t>
  </si>
  <si>
    <t>Účet 602 - Výnosy z prodeje služeb</t>
  </si>
  <si>
    <t>NÁKLADY CELKEM</t>
  </si>
  <si>
    <t xml:space="preserve">Účet 501 - Spotřeba materiálu </t>
  </si>
  <si>
    <t>Účet 502 - Spotřeba energie</t>
  </si>
  <si>
    <t xml:space="preserve">Účet 504 - Prodané zboží </t>
  </si>
  <si>
    <t>Účet 511 - Opravy a udržování, revize</t>
  </si>
  <si>
    <t>účet 512 - Cestovné</t>
  </si>
  <si>
    <t>účet 513 - Náklady na reprezentaci</t>
  </si>
  <si>
    <t>účet 518 - Ostatní služby</t>
  </si>
  <si>
    <t>účet 521 - Mzdové náklady</t>
  </si>
  <si>
    <t>účet 524 - Zákonné sociální pojištění ZP+SP</t>
  </si>
  <si>
    <t>VÝSLEDEK HOSPODAŘENÍ</t>
  </si>
  <si>
    <t>Celkem (HČ a DČ)</t>
  </si>
  <si>
    <t>Sociální služby Chomutov, příspěvková organizace</t>
  </si>
  <si>
    <t>Písečná 5030, 430 04 Chomutov</t>
  </si>
  <si>
    <t>DpS Písečná</t>
  </si>
  <si>
    <t>CDS Bezručova</t>
  </si>
  <si>
    <t>DOZP Písečná</t>
  </si>
  <si>
    <t>DSOZP Písečná</t>
  </si>
  <si>
    <t>DS Písečná</t>
  </si>
  <si>
    <t>Jesle Písečná</t>
  </si>
  <si>
    <t>AD Písečná</t>
  </si>
  <si>
    <t>SP Písečná</t>
  </si>
  <si>
    <t>ředitelství</t>
  </si>
  <si>
    <t>Ostatní činnosti</t>
  </si>
  <si>
    <t>Písečná 5030,  430 04 Chomutov</t>
  </si>
  <si>
    <t xml:space="preserve">oprava podlahové krytiny DOZP Písečná </t>
  </si>
  <si>
    <t>A</t>
  </si>
  <si>
    <t>oprava tří centrálních koupelen v DpS Písečná</t>
  </si>
  <si>
    <t>klimatizace DOZP Písečná</t>
  </si>
  <si>
    <t>signalizace klient - sestra v DpS Písečná</t>
  </si>
  <si>
    <t>signalizace klient - sestra v DOZP Písečná</t>
  </si>
  <si>
    <t>Jméno: Ing. Ivana Vomáčková</t>
  </si>
  <si>
    <t>Jméno: Mgr. Alena Tölgová</t>
  </si>
  <si>
    <t>finanční manažerka</t>
  </si>
  <si>
    <t>ředitelka</t>
  </si>
  <si>
    <t>Jméno: Ing. Ivana Vomáčková, finanční manažerka</t>
  </si>
  <si>
    <t>Jméno: Mgr. Alena Tölgová, ředitelka</t>
  </si>
  <si>
    <t>Organizace: Sociální služby Chomutov, příspěvková organizace</t>
  </si>
  <si>
    <t>stav investičního fondu k 1.1. 2018</t>
  </si>
  <si>
    <t>Plán investičního fondu k 31.12. 2018</t>
  </si>
  <si>
    <t>stav rezervního fondu k 1.1. 2018</t>
  </si>
  <si>
    <t>Plán rezervního fondu k 31.12.2018</t>
  </si>
  <si>
    <t>stav fondu odměn k 1.1.2018</t>
  </si>
  <si>
    <t>ostatní (z odpisů)</t>
  </si>
  <si>
    <t>Sestavil dne: 2.10.2017</t>
  </si>
  <si>
    <t>Schválil dne: 2.10.2017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</si>
</sst>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0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186AA"/>
        <bgColor indexed="64"/>
      </patternFill>
    </fill>
    <fill>
      <patternFill patternType="solid">
        <fgColor theme="6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6" fillId="0" borderId="0"/>
  </cellStyleXfs>
  <cellXfs count="201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left"/>
    </xf>
    <xf numFmtId="0" fontId="4" fillId="0" borderId="27" xfId="0" applyFont="1" applyBorder="1"/>
    <xf numFmtId="0" fontId="0" fillId="0" borderId="27" xfId="0" applyBorder="1"/>
    <xf numFmtId="0" fontId="0" fillId="0" borderId="27" xfId="0" applyBorder="1" applyAlignment="1">
      <alignment horizontal="left" indent="5"/>
    </xf>
    <xf numFmtId="0" fontId="1" fillId="0" borderId="27" xfId="0" applyFont="1" applyBorder="1"/>
    <xf numFmtId="0" fontId="1" fillId="0" borderId="29" xfId="0" applyFont="1" applyBorder="1" applyAlignment="1">
      <alignment horizontal="center"/>
    </xf>
    <xf numFmtId="0" fontId="1" fillId="0" borderId="5" xfId="0" applyFont="1" applyBorder="1"/>
    <xf numFmtId="164" fontId="2" fillId="0" borderId="20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164" fontId="1" fillId="0" borderId="3" xfId="0" applyNumberFormat="1" applyFont="1" applyBorder="1"/>
    <xf numFmtId="164" fontId="6" fillId="0" borderId="19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0" fillId="0" borderId="30" xfId="0" applyNumberFormat="1" applyBorder="1"/>
    <xf numFmtId="164" fontId="0" fillId="0" borderId="31" xfId="0" applyNumberFormat="1" applyBorder="1"/>
    <xf numFmtId="164" fontId="2" fillId="0" borderId="32" xfId="0" applyNumberFormat="1" applyFont="1" applyBorder="1" applyAlignment="1">
      <alignment horizontal="right"/>
    </xf>
    <xf numFmtId="0" fontId="1" fillId="0" borderId="28" xfId="0" applyFont="1" applyBorder="1" applyAlignment="1">
      <alignment horizontal="left"/>
    </xf>
    <xf numFmtId="164" fontId="1" fillId="0" borderId="15" xfId="0" applyNumberFormat="1" applyFont="1" applyBorder="1"/>
    <xf numFmtId="164" fontId="2" fillId="0" borderId="33" xfId="0" applyNumberFormat="1" applyFont="1" applyBorder="1" applyAlignment="1">
      <alignment horizontal="right"/>
    </xf>
    <xf numFmtId="0" fontId="1" fillId="0" borderId="25" xfId="0" applyFont="1" applyBorder="1"/>
    <xf numFmtId="164" fontId="1" fillId="0" borderId="13" xfId="0" applyNumberFormat="1" applyFont="1" applyBorder="1"/>
    <xf numFmtId="164" fontId="6" fillId="0" borderId="8" xfId="0" applyNumberFormat="1" applyFont="1" applyBorder="1" applyAlignment="1">
      <alignment horizontal="right"/>
    </xf>
    <xf numFmtId="0" fontId="0" fillId="0" borderId="28" xfId="0" applyBorder="1" applyAlignment="1">
      <alignment horizontal="left" indent="5"/>
    </xf>
    <xf numFmtId="164" fontId="0" fillId="0" borderId="15" xfId="0" applyNumberFormat="1" applyBorder="1"/>
    <xf numFmtId="164" fontId="0" fillId="0" borderId="10" xfId="0" applyNumberFormat="1" applyBorder="1"/>
    <xf numFmtId="0" fontId="1" fillId="0" borderId="25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0" fontId="5" fillId="3" borderId="27" xfId="0" applyFont="1" applyFill="1" applyBorder="1"/>
    <xf numFmtId="164" fontId="1" fillId="2" borderId="1" xfId="0" applyNumberFormat="1" applyFont="1" applyFill="1" applyBorder="1"/>
    <xf numFmtId="0" fontId="11" fillId="4" borderId="38" xfId="1" applyFont="1" applyFill="1" applyBorder="1" applyAlignment="1" applyProtection="1">
      <alignment horizontal="center"/>
    </xf>
    <xf numFmtId="10" fontId="11" fillId="4" borderId="39" xfId="1" applyNumberFormat="1" applyFont="1" applyFill="1" applyBorder="1" applyAlignment="1" applyProtection="1">
      <alignment horizontal="center"/>
    </xf>
    <xf numFmtId="0" fontId="13" fillId="0" borderId="25" xfId="1" applyFont="1" applyBorder="1" applyAlignment="1" applyProtection="1">
      <alignment horizontal="center"/>
      <protection locked="0"/>
    </xf>
    <xf numFmtId="4" fontId="12" fillId="0" borderId="41" xfId="1" applyNumberFormat="1" applyFont="1" applyBorder="1" applyAlignment="1" applyProtection="1">
      <alignment horizontal="right" indent="1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4" fontId="12" fillId="0" borderId="42" xfId="1" applyNumberFormat="1" applyFont="1" applyBorder="1" applyAlignment="1" applyProtection="1">
      <alignment horizontal="right" indent="1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4" fontId="12" fillId="0" borderId="45" xfId="1" applyNumberFormat="1" applyFont="1" applyBorder="1" applyAlignment="1" applyProtection="1">
      <alignment horizontal="right" indent="1"/>
      <protection locked="0"/>
    </xf>
    <xf numFmtId="0" fontId="13" fillId="0" borderId="34" xfId="1" applyFont="1" applyBorder="1" applyAlignment="1" applyProtection="1">
      <alignment horizontal="center"/>
    </xf>
    <xf numFmtId="4" fontId="13" fillId="0" borderId="46" xfId="1" applyNumberFormat="1" applyFont="1" applyBorder="1" applyAlignment="1" applyProtection="1">
      <alignment horizontal="right" indent="1"/>
    </xf>
    <xf numFmtId="0" fontId="12" fillId="0" borderId="0" xfId="1" applyFont="1" applyProtection="1"/>
    <xf numFmtId="4" fontId="12" fillId="0" borderId="0" xfId="1" applyNumberFormat="1" applyFont="1" applyProtection="1"/>
    <xf numFmtId="4" fontId="11" fillId="4" borderId="8" xfId="1" applyNumberFormat="1" applyFont="1" applyFill="1" applyBorder="1" applyAlignment="1" applyProtection="1">
      <alignment horizontal="center"/>
    </xf>
    <xf numFmtId="4" fontId="12" fillId="0" borderId="47" xfId="1" applyNumberFormat="1" applyFont="1" applyBorder="1" applyAlignment="1" applyProtection="1">
      <alignment horizontal="right" indent="1"/>
      <protection locked="0"/>
    </xf>
    <xf numFmtId="4" fontId="12" fillId="0" borderId="11" xfId="1" applyNumberFormat="1" applyFont="1" applyBorder="1" applyAlignment="1" applyProtection="1">
      <alignment horizontal="right" indent="1"/>
      <protection locked="0"/>
    </xf>
    <xf numFmtId="0" fontId="9" fillId="0" borderId="0" xfId="1" applyFont="1" applyProtection="1"/>
    <xf numFmtId="49" fontId="12" fillId="0" borderId="0" xfId="1" applyNumberFormat="1" applyFont="1" applyBorder="1" applyAlignment="1" applyProtection="1">
      <alignment horizontal="left" indent="1"/>
      <protection locked="0"/>
    </xf>
    <xf numFmtId="0" fontId="11" fillId="4" borderId="16" xfId="1" applyFont="1" applyFill="1" applyBorder="1" applyAlignment="1" applyProtection="1"/>
    <xf numFmtId="0" fontId="11" fillId="4" borderId="18" xfId="1" applyFont="1" applyFill="1" applyBorder="1" applyAlignment="1" applyProtection="1"/>
    <xf numFmtId="0" fontId="11" fillId="4" borderId="26" xfId="1" applyFont="1" applyFill="1" applyBorder="1" applyAlignment="1" applyProtection="1">
      <alignment horizontal="center"/>
    </xf>
    <xf numFmtId="4" fontId="11" fillId="4" borderId="19" xfId="1" applyNumberFormat="1" applyFont="1" applyFill="1" applyBorder="1" applyAlignment="1" applyProtection="1">
      <alignment horizontal="center"/>
    </xf>
    <xf numFmtId="0" fontId="13" fillId="0" borderId="0" xfId="1" applyFont="1" applyBorder="1" applyAlignment="1" applyProtection="1">
      <alignment horizontal="center"/>
      <protection locked="0"/>
    </xf>
    <xf numFmtId="4" fontId="12" fillId="0" borderId="0" xfId="1" applyNumberFormat="1" applyFont="1" applyBorder="1" applyAlignment="1" applyProtection="1">
      <alignment horizontal="right" indent="1"/>
      <protection locked="0"/>
    </xf>
    <xf numFmtId="0" fontId="0" fillId="0" borderId="0" xfId="0" applyBorder="1"/>
    <xf numFmtId="49" fontId="9" fillId="0" borderId="0" xfId="1" applyNumberFormat="1" applyFont="1" applyBorder="1" applyAlignment="1" applyProtection="1">
      <alignment horizontal="left"/>
      <protection locked="0"/>
    </xf>
    <xf numFmtId="0" fontId="16" fillId="0" borderId="0" xfId="2"/>
    <xf numFmtId="0" fontId="18" fillId="0" borderId="0" xfId="2" applyFont="1"/>
    <xf numFmtId="165" fontId="16" fillId="0" borderId="0" xfId="2" applyNumberFormat="1" applyFont="1"/>
    <xf numFmtId="0" fontId="20" fillId="0" borderId="0" xfId="2" applyFont="1"/>
    <xf numFmtId="165" fontId="22" fillId="0" borderId="0" xfId="2" applyNumberFormat="1" applyFont="1"/>
    <xf numFmtId="0" fontId="22" fillId="0" borderId="0" xfId="2" applyFont="1" applyAlignment="1">
      <alignment horizontal="center"/>
    </xf>
    <xf numFmtId="49" fontId="23" fillId="2" borderId="1" xfId="2" applyNumberFormat="1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 vertical="center" textRotation="90"/>
    </xf>
    <xf numFmtId="165" fontId="22" fillId="2" borderId="1" xfId="2" applyNumberFormat="1" applyFont="1" applyFill="1" applyBorder="1" applyAlignment="1">
      <alignment horizontal="center" vertical="center"/>
    </xf>
    <xf numFmtId="49" fontId="22" fillId="2" borderId="1" xfId="2" applyNumberFormat="1" applyFont="1" applyFill="1" applyBorder="1" applyAlignment="1">
      <alignment horizontal="center" vertical="center"/>
    </xf>
    <xf numFmtId="4" fontId="23" fillId="2" borderId="1" xfId="2" applyNumberFormat="1" applyFont="1" applyFill="1" applyBorder="1" applyAlignment="1">
      <alignment horizontal="right"/>
    </xf>
    <xf numFmtId="0" fontId="1" fillId="0" borderId="0" xfId="2" applyFont="1" applyFill="1"/>
    <xf numFmtId="165" fontId="7" fillId="5" borderId="1" xfId="2" applyNumberFormat="1" applyFont="1" applyFill="1" applyBorder="1"/>
    <xf numFmtId="0" fontId="25" fillId="0" borderId="2" xfId="1" applyFont="1" applyFill="1" applyBorder="1" applyAlignment="1" applyProtection="1">
      <alignment horizontal="left" indent="1"/>
    </xf>
    <xf numFmtId="0" fontId="16" fillId="0" borderId="3" xfId="2" applyBorder="1" applyAlignment="1">
      <alignment horizontal="left" wrapText="1"/>
    </xf>
    <xf numFmtId="4" fontId="23" fillId="0" borderId="1" xfId="2" applyNumberFormat="1" applyFont="1" applyFill="1" applyBorder="1" applyAlignment="1">
      <alignment horizontal="right"/>
    </xf>
    <xf numFmtId="4" fontId="26" fillId="0" borderId="52" xfId="2" applyNumberFormat="1" applyFont="1" applyFill="1" applyBorder="1" applyAlignment="1">
      <alignment horizontal="right"/>
    </xf>
    <xf numFmtId="4" fontId="26" fillId="0" borderId="52" xfId="2" applyNumberFormat="1" applyFont="1" applyFill="1" applyBorder="1" applyAlignment="1">
      <alignment horizontal="right" vertical="center"/>
    </xf>
    <xf numFmtId="0" fontId="27" fillId="0" borderId="0" xfId="2" applyFont="1" applyFill="1"/>
    <xf numFmtId="165" fontId="26" fillId="0" borderId="1" xfId="2" applyNumberFormat="1" applyFont="1" applyFill="1" applyBorder="1"/>
    <xf numFmtId="0" fontId="14" fillId="0" borderId="2" xfId="1" applyFont="1" applyFill="1" applyBorder="1" applyAlignment="1" applyProtection="1">
      <alignment horizontal="left" indent="1"/>
    </xf>
    <xf numFmtId="0" fontId="7" fillId="0" borderId="3" xfId="2" applyFont="1" applyBorder="1" applyAlignment="1">
      <alignment horizontal="left" wrapText="1"/>
    </xf>
    <xf numFmtId="4" fontId="15" fillId="0" borderId="53" xfId="2" applyNumberFormat="1" applyFont="1" applyFill="1" applyBorder="1" applyAlignment="1">
      <alignment horizontal="right"/>
    </xf>
    <xf numFmtId="4" fontId="15" fillId="0" borderId="53" xfId="2" applyNumberFormat="1" applyFont="1" applyFill="1" applyBorder="1" applyAlignment="1">
      <alignment horizontal="right" vertical="center"/>
    </xf>
    <xf numFmtId="0" fontId="28" fillId="0" borderId="0" xfId="2" applyFont="1" applyFill="1"/>
    <xf numFmtId="165" fontId="8" fillId="0" borderId="1" xfId="2" applyNumberFormat="1" applyFont="1" applyFill="1" applyBorder="1"/>
    <xf numFmtId="0" fontId="13" fillId="0" borderId="2" xfId="1" applyFont="1" applyFill="1" applyBorder="1" applyAlignment="1" applyProtection="1">
      <alignment horizontal="left" indent="1"/>
    </xf>
    <xf numFmtId="4" fontId="7" fillId="0" borderId="53" xfId="2" applyNumberFormat="1" applyFont="1" applyFill="1" applyBorder="1" applyAlignment="1">
      <alignment horizontal="right"/>
    </xf>
    <xf numFmtId="4" fontId="7" fillId="0" borderId="53" xfId="2" applyNumberFormat="1" applyFont="1" applyFill="1" applyBorder="1" applyAlignment="1">
      <alignment horizontal="right" vertical="center"/>
    </xf>
    <xf numFmtId="0" fontId="16" fillId="0" borderId="0" xfId="2" applyFill="1"/>
    <xf numFmtId="0" fontId="13" fillId="0" borderId="2" xfId="2" applyFont="1" applyFill="1" applyBorder="1" applyAlignment="1">
      <alignment horizontal="left" indent="1"/>
    </xf>
    <xf numFmtId="0" fontId="4" fillId="0" borderId="3" xfId="2" applyFont="1" applyBorder="1" applyAlignment="1">
      <alignment horizontal="left" wrapText="1"/>
    </xf>
    <xf numFmtId="4" fontId="7" fillId="0" borderId="53" xfId="2" applyNumberFormat="1" applyFont="1" applyBorder="1"/>
    <xf numFmtId="4" fontId="7" fillId="0" borderId="53" xfId="2" applyNumberFormat="1" applyFont="1" applyFill="1" applyBorder="1"/>
    <xf numFmtId="0" fontId="7" fillId="0" borderId="0" xfId="2" applyFont="1"/>
    <xf numFmtId="4" fontId="23" fillId="2" borderId="1" xfId="2" applyNumberFormat="1" applyFont="1" applyFill="1" applyBorder="1"/>
    <xf numFmtId="0" fontId="9" fillId="0" borderId="0" xfId="2" applyFont="1"/>
    <xf numFmtId="165" fontId="8" fillId="5" borderId="1" xfId="2" applyNumberFormat="1" applyFont="1" applyFill="1" applyBorder="1"/>
    <xf numFmtId="4" fontId="7" fillId="0" borderId="52" xfId="2" applyNumberFormat="1" applyFont="1" applyBorder="1"/>
    <xf numFmtId="4" fontId="7" fillId="0" borderId="52" xfId="2" applyNumberFormat="1" applyFont="1" applyFill="1" applyBorder="1"/>
    <xf numFmtId="0" fontId="13" fillId="0" borderId="2" xfId="2" applyFont="1" applyFill="1" applyBorder="1" applyAlignment="1" applyProtection="1">
      <alignment horizontal="left" indent="1"/>
    </xf>
    <xf numFmtId="0" fontId="16" fillId="0" borderId="3" xfId="2" applyFill="1" applyBorder="1" applyAlignment="1">
      <alignment horizontal="left" wrapText="1"/>
    </xf>
    <xf numFmtId="4" fontId="7" fillId="0" borderId="54" xfId="2" applyNumberFormat="1" applyFont="1" applyBorder="1"/>
    <xf numFmtId="4" fontId="7" fillId="0" borderId="54" xfId="2" applyNumberFormat="1" applyFont="1" applyFill="1" applyBorder="1"/>
    <xf numFmtId="0" fontId="13" fillId="2" borderId="1" xfId="1" applyFont="1" applyFill="1" applyBorder="1" applyAlignment="1" applyProtection="1">
      <alignment horizontal="left" indent="1"/>
    </xf>
    <xf numFmtId="0" fontId="16" fillId="2" borderId="1" xfId="2" applyFill="1" applyBorder="1" applyAlignment="1">
      <alignment horizontal="left" wrapText="1"/>
    </xf>
    <xf numFmtId="0" fontId="7" fillId="0" borderId="0" xfId="2" applyFont="1" applyFill="1"/>
    <xf numFmtId="165" fontId="8" fillId="2" borderId="1" xfId="2" applyNumberFormat="1" applyFont="1" applyFill="1" applyBorder="1"/>
    <xf numFmtId="0" fontId="13" fillId="3" borderId="1" xfId="1" applyFont="1" applyFill="1" applyBorder="1" applyAlignment="1" applyProtection="1">
      <alignment horizontal="left" indent="1"/>
    </xf>
    <xf numFmtId="0" fontId="16" fillId="3" borderId="1" xfId="2" applyFill="1" applyBorder="1" applyAlignment="1">
      <alignment horizontal="left" wrapText="1"/>
    </xf>
    <xf numFmtId="4" fontId="23" fillId="3" borderId="1" xfId="2" applyNumberFormat="1" applyFont="1" applyFill="1" applyBorder="1" applyAlignment="1">
      <alignment horizontal="right"/>
    </xf>
    <xf numFmtId="4" fontId="7" fillId="3" borderId="1" xfId="2" applyNumberFormat="1" applyFont="1" applyFill="1" applyBorder="1"/>
    <xf numFmtId="165" fontId="8" fillId="3" borderId="1" xfId="2" applyNumberFormat="1" applyFont="1" applyFill="1" applyBorder="1"/>
    <xf numFmtId="0" fontId="23" fillId="0" borderId="48" xfId="2" applyFont="1" applyBorder="1"/>
    <xf numFmtId="0" fontId="7" fillId="0" borderId="48" xfId="2" applyFont="1" applyBorder="1"/>
    <xf numFmtId="0" fontId="7" fillId="0" borderId="0" xfId="2" applyFont="1" applyBorder="1"/>
    <xf numFmtId="0" fontId="23" fillId="0" borderId="0" xfId="2" applyFont="1" applyBorder="1"/>
    <xf numFmtId="165" fontId="8" fillId="0" borderId="0" xfId="2" applyNumberFormat="1" applyFont="1" applyFill="1" applyBorder="1"/>
    <xf numFmtId="165" fontId="8" fillId="0" borderId="0" xfId="2" applyNumberFormat="1" applyFont="1" applyFill="1"/>
    <xf numFmtId="4" fontId="23" fillId="0" borderId="48" xfId="2" applyNumberFormat="1" applyFont="1" applyFill="1" applyBorder="1"/>
    <xf numFmtId="4" fontId="9" fillId="0" borderId="0" xfId="2" applyNumberFormat="1" applyFont="1" applyFill="1" applyBorder="1"/>
    <xf numFmtId="4" fontId="23" fillId="0" borderId="0" xfId="2" applyNumberFormat="1" applyFont="1" applyFill="1" applyBorder="1"/>
    <xf numFmtId="0" fontId="9" fillId="0" borderId="0" xfId="2" applyFont="1" applyFill="1" applyBorder="1"/>
    <xf numFmtId="4" fontId="30" fillId="2" borderId="1" xfId="2" applyNumberFormat="1" applyFont="1" applyFill="1" applyBorder="1" applyAlignment="1">
      <alignment horizontal="right"/>
    </xf>
    <xf numFmtId="4" fontId="30" fillId="0" borderId="1" xfId="2" applyNumberFormat="1" applyFont="1" applyFill="1" applyBorder="1" applyAlignment="1">
      <alignment horizontal="right"/>
    </xf>
    <xf numFmtId="4" fontId="31" fillId="0" borderId="1" xfId="2" applyNumberFormat="1" applyFont="1" applyFill="1" applyBorder="1" applyAlignment="1">
      <alignment horizontal="right"/>
    </xf>
    <xf numFmtId="0" fontId="22" fillId="0" borderId="0" xfId="2" applyFont="1" applyAlignment="1">
      <alignment horizontal="center"/>
    </xf>
    <xf numFmtId="0" fontId="22" fillId="0" borderId="0" xfId="2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left"/>
    </xf>
    <xf numFmtId="49" fontId="12" fillId="0" borderId="43" xfId="1" applyNumberFormat="1" applyFont="1" applyBorder="1" applyAlignment="1" applyProtection="1">
      <alignment horizontal="left" indent="1"/>
      <protection locked="0"/>
    </xf>
    <xf numFmtId="49" fontId="12" fillId="0" borderId="44" xfId="1" applyNumberFormat="1" applyFont="1" applyBorder="1" applyAlignment="1" applyProtection="1">
      <alignment horizontal="left" indent="1"/>
      <protection locked="0"/>
    </xf>
    <xf numFmtId="49" fontId="12" fillId="0" borderId="45" xfId="1" applyNumberFormat="1" applyFont="1" applyBorder="1" applyAlignment="1" applyProtection="1">
      <alignment horizontal="left" indent="1"/>
      <protection locked="0"/>
    </xf>
    <xf numFmtId="0" fontId="13" fillId="0" borderId="49" xfId="1" applyFont="1" applyBorder="1" applyAlignment="1" applyProtection="1">
      <alignment horizontal="left"/>
    </xf>
    <xf numFmtId="0" fontId="13" fillId="0" borderId="35" xfId="1" applyFont="1" applyBorder="1" applyAlignment="1" applyProtection="1">
      <alignment horizontal="left"/>
    </xf>
    <xf numFmtId="0" fontId="13" fillId="0" borderId="50" xfId="1" applyFont="1" applyBorder="1" applyAlignment="1" applyProtection="1">
      <alignment horizontal="left"/>
    </xf>
    <xf numFmtId="49" fontId="12" fillId="0" borderId="24" xfId="1" applyNumberFormat="1" applyFont="1" applyBorder="1" applyAlignment="1" applyProtection="1">
      <alignment horizontal="left" indent="1"/>
      <protection locked="0"/>
    </xf>
    <xf numFmtId="49" fontId="12" fillId="0" borderId="4" xfId="1" applyNumberFormat="1" applyFont="1" applyBorder="1" applyAlignment="1" applyProtection="1">
      <alignment horizontal="left" indent="1"/>
      <protection locked="0"/>
    </xf>
    <xf numFmtId="49" fontId="12" fillId="0" borderId="42" xfId="1" applyNumberFormat="1" applyFont="1" applyBorder="1" applyAlignment="1" applyProtection="1">
      <alignment horizontal="left" indent="1"/>
      <protection locked="0"/>
    </xf>
    <xf numFmtId="49" fontId="12" fillId="0" borderId="23" xfId="1" applyNumberFormat="1" applyFont="1" applyBorder="1" applyAlignment="1" applyProtection="1">
      <alignment horizontal="left" indent="1"/>
      <protection locked="0"/>
    </xf>
    <xf numFmtId="49" fontId="12" fillId="0" borderId="40" xfId="1" applyNumberFormat="1" applyFont="1" applyBorder="1" applyAlignment="1" applyProtection="1">
      <alignment horizontal="left" indent="1"/>
      <protection locked="0"/>
    </xf>
    <xf numFmtId="49" fontId="12" fillId="0" borderId="41" xfId="1" applyNumberFormat="1" applyFont="1" applyBorder="1" applyAlignment="1" applyProtection="1">
      <alignment horizontal="left" indent="1"/>
      <protection locked="0"/>
    </xf>
    <xf numFmtId="0" fontId="11" fillId="4" borderId="6" xfId="1" applyFont="1" applyFill="1" applyBorder="1" applyAlignment="1" applyProtection="1">
      <alignment horizontal="left"/>
    </xf>
    <xf numFmtId="0" fontId="11" fillId="4" borderId="7" xfId="1" applyFont="1" applyFill="1" applyBorder="1" applyAlignment="1" applyProtection="1">
      <alignment horizontal="left"/>
    </xf>
    <xf numFmtId="0" fontId="11" fillId="4" borderId="36" xfId="1" applyFont="1" applyFill="1" applyBorder="1" applyAlignment="1" applyProtection="1">
      <alignment horizontal="left"/>
    </xf>
    <xf numFmtId="0" fontId="11" fillId="4" borderId="37" xfId="1" applyFont="1" applyFill="1" applyBorder="1" applyAlignment="1" applyProtection="1">
      <alignment horizontal="left"/>
    </xf>
    <xf numFmtId="0" fontId="24" fillId="2" borderId="1" xfId="1" applyFont="1" applyFill="1" applyBorder="1" applyAlignment="1" applyProtection="1">
      <alignment horizontal="left"/>
    </xf>
    <xf numFmtId="0" fontId="24" fillId="2" borderId="2" xfId="1" applyFont="1" applyFill="1" applyBorder="1" applyAlignment="1">
      <alignment horizontal="left"/>
    </xf>
    <xf numFmtId="0" fontId="24" fillId="2" borderId="3" xfId="1" applyFont="1" applyFill="1" applyBorder="1" applyAlignment="1">
      <alignment horizontal="left"/>
    </xf>
    <xf numFmtId="0" fontId="24" fillId="0" borderId="48" xfId="1" applyFont="1" applyFill="1" applyBorder="1" applyAlignment="1">
      <alignment horizontal="center"/>
    </xf>
    <xf numFmtId="0" fontId="29" fillId="0" borderId="18" xfId="2" applyFont="1" applyBorder="1" applyAlignment="1">
      <alignment horizontal="center"/>
    </xf>
    <xf numFmtId="0" fontId="29" fillId="0" borderId="17" xfId="2" applyFont="1" applyBorder="1" applyAlignment="1">
      <alignment horizontal="center"/>
    </xf>
    <xf numFmtId="0" fontId="9" fillId="0" borderId="51" xfId="2" applyFont="1" applyBorder="1" applyAlignment="1">
      <alignment horizont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7" fillId="0" borderId="48" xfId="2" applyFont="1" applyBorder="1" applyAlignment="1">
      <alignment horizontal="center"/>
    </xf>
    <xf numFmtId="0" fontId="17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165" fontId="19" fillId="0" borderId="0" xfId="2" applyNumberFormat="1" applyFont="1" applyAlignment="1">
      <alignment horizontal="center"/>
    </xf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22" fillId="0" borderId="51" xfId="2" applyFont="1" applyBorder="1" applyAlignment="1">
      <alignment horizontal="center"/>
    </xf>
  </cellXfs>
  <cellStyles count="3">
    <cellStyle name="Normální" xfId="0" builtinId="0"/>
    <cellStyle name="Normální 2" xfId="2"/>
    <cellStyle name="normální_Tabulka školy, návrh rozpočtu" xfId="1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106"/>
  <sheetViews>
    <sheetView showGridLines="0" tabSelected="1" topLeftCell="A16" zoomScaleNormal="100" workbookViewId="0">
      <selection activeCell="P33" sqref="P33"/>
    </sheetView>
  </sheetViews>
  <sheetFormatPr defaultColWidth="0" defaultRowHeight="14.4" zeroHeight="1" x14ac:dyDescent="0.3"/>
  <cols>
    <col min="1" max="1" width="3.109375" customWidth="1"/>
    <col min="2" max="2" width="7.33203125" customWidth="1"/>
    <col min="3" max="3" width="50.44140625" customWidth="1"/>
    <col min="4" max="18" width="10.6640625" customWidth="1"/>
    <col min="19" max="19" width="3" customWidth="1"/>
    <col min="20" max="16384" width="9.109375" hidden="1"/>
  </cols>
  <sheetData>
    <row r="1" spans="2:18" ht="15" x14ac:dyDescent="0.25"/>
    <row r="2" spans="2:18" ht="21" x14ac:dyDescent="0.4">
      <c r="B2" s="3" t="s">
        <v>123</v>
      </c>
    </row>
    <row r="3" spans="2:18" ht="15" x14ac:dyDescent="0.25"/>
    <row r="4" spans="2:18" x14ac:dyDescent="0.3">
      <c r="B4" t="s">
        <v>84</v>
      </c>
      <c r="D4" t="s">
        <v>166</v>
      </c>
    </row>
    <row r="5" spans="2:18" x14ac:dyDescent="0.3">
      <c r="B5" t="s">
        <v>85</v>
      </c>
      <c r="D5">
        <v>46789944</v>
      </c>
    </row>
    <row r="6" spans="2:18" x14ac:dyDescent="0.3">
      <c r="B6" t="s">
        <v>86</v>
      </c>
      <c r="D6" t="s">
        <v>167</v>
      </c>
    </row>
    <row r="7" spans="2:18" ht="15" x14ac:dyDescent="0.25"/>
    <row r="8" spans="2:18" x14ac:dyDescent="0.3">
      <c r="B8" s="1" t="s">
        <v>69</v>
      </c>
    </row>
    <row r="9" spans="2:18" ht="15.75" thickBot="1" x14ac:dyDescent="0.3">
      <c r="E9">
        <v>2017</v>
      </c>
      <c r="H9">
        <v>2017</v>
      </c>
      <c r="K9" s="53">
        <v>42916</v>
      </c>
      <c r="N9">
        <v>2017</v>
      </c>
      <c r="Q9">
        <v>2018</v>
      </c>
    </row>
    <row r="10" spans="2:18" ht="15" customHeight="1" x14ac:dyDescent="0.3">
      <c r="B10" s="156" t="s">
        <v>40</v>
      </c>
      <c r="C10" s="158" t="s">
        <v>41</v>
      </c>
      <c r="D10" s="166" t="s">
        <v>87</v>
      </c>
      <c r="E10" s="164"/>
      <c r="F10" s="167"/>
      <c r="G10" s="163" t="s">
        <v>90</v>
      </c>
      <c r="H10" s="164"/>
      <c r="I10" s="165"/>
      <c r="J10" s="166" t="s">
        <v>91</v>
      </c>
      <c r="K10" s="164"/>
      <c r="L10" s="167"/>
      <c r="M10" s="163" t="s">
        <v>92</v>
      </c>
      <c r="N10" s="164"/>
      <c r="O10" s="165"/>
      <c r="P10" s="166" t="s">
        <v>93</v>
      </c>
      <c r="Q10" s="164"/>
      <c r="R10" s="167"/>
    </row>
    <row r="11" spans="2:18" ht="29.4" thickBot="1" x14ac:dyDescent="0.35">
      <c r="B11" s="157"/>
      <c r="C11" s="159"/>
      <c r="D11" s="9" t="s">
        <v>42</v>
      </c>
      <c r="E11" s="10" t="s">
        <v>43</v>
      </c>
      <c r="F11" s="11" t="s">
        <v>44</v>
      </c>
      <c r="G11" s="12" t="s">
        <v>42</v>
      </c>
      <c r="H11" s="10" t="s">
        <v>43</v>
      </c>
      <c r="I11" s="13" t="s">
        <v>44</v>
      </c>
      <c r="J11" s="9" t="s">
        <v>42</v>
      </c>
      <c r="K11" s="10" t="s">
        <v>43</v>
      </c>
      <c r="L11" s="11" t="s">
        <v>44</v>
      </c>
      <c r="M11" s="12" t="s">
        <v>42</v>
      </c>
      <c r="N11" s="10" t="s">
        <v>43</v>
      </c>
      <c r="O11" s="13" t="s">
        <v>44</v>
      </c>
      <c r="P11" s="9" t="s">
        <v>42</v>
      </c>
      <c r="Q11" s="10" t="s">
        <v>43</v>
      </c>
      <c r="R11" s="11" t="s">
        <v>44</v>
      </c>
    </row>
    <row r="12" spans="2:18" ht="15" x14ac:dyDescent="0.25">
      <c r="B12" s="17"/>
      <c r="C12" s="20" t="s">
        <v>45</v>
      </c>
      <c r="D12" s="14" t="s">
        <v>46</v>
      </c>
      <c r="E12" s="15" t="s">
        <v>47</v>
      </c>
      <c r="F12" s="16" t="s">
        <v>49</v>
      </c>
      <c r="G12" s="7" t="s">
        <v>48</v>
      </c>
      <c r="H12" s="5" t="s">
        <v>88</v>
      </c>
      <c r="I12" s="8" t="s">
        <v>89</v>
      </c>
      <c r="J12" s="4" t="s">
        <v>102</v>
      </c>
      <c r="K12" s="5" t="s">
        <v>103</v>
      </c>
      <c r="L12" s="6" t="s">
        <v>104</v>
      </c>
      <c r="M12" s="7" t="s">
        <v>105</v>
      </c>
      <c r="N12" s="5" t="s">
        <v>106</v>
      </c>
      <c r="O12" s="8" t="s">
        <v>107</v>
      </c>
      <c r="P12" s="4" t="s">
        <v>108</v>
      </c>
      <c r="Q12" s="5" t="s">
        <v>109</v>
      </c>
      <c r="R12" s="6" t="s">
        <v>110</v>
      </c>
    </row>
    <row r="13" spans="2:18" x14ac:dyDescent="0.3">
      <c r="B13" s="18" t="s">
        <v>0</v>
      </c>
      <c r="C13" s="21" t="s">
        <v>1</v>
      </c>
      <c r="D13" s="29">
        <v>44010</v>
      </c>
      <c r="E13" s="30"/>
      <c r="F13" s="31">
        <f>D13+E13</f>
        <v>44010</v>
      </c>
      <c r="G13" s="29">
        <v>45000</v>
      </c>
      <c r="H13" s="30"/>
      <c r="I13" s="31">
        <f>G13+H13</f>
        <v>45000</v>
      </c>
      <c r="J13" s="29">
        <v>24625.7</v>
      </c>
      <c r="K13" s="30">
        <v>85</v>
      </c>
      <c r="L13" s="31">
        <f>J13+K13</f>
        <v>24710.7</v>
      </c>
      <c r="M13" s="29">
        <v>45000</v>
      </c>
      <c r="N13" s="30">
        <v>85</v>
      </c>
      <c r="O13" s="31">
        <f>M13+N13</f>
        <v>45085</v>
      </c>
      <c r="P13" s="29">
        <v>48267</v>
      </c>
      <c r="Q13" s="30"/>
      <c r="R13" s="31">
        <f>P13+Q13</f>
        <v>48267</v>
      </c>
    </row>
    <row r="14" spans="2:18" x14ac:dyDescent="0.3">
      <c r="B14" s="18" t="s">
        <v>2</v>
      </c>
      <c r="C14" s="23" t="s">
        <v>95</v>
      </c>
      <c r="D14" s="32"/>
      <c r="E14" s="33"/>
      <c r="F14" s="31">
        <f t="shared" ref="F14:F41" si="0">D14+E14</f>
        <v>0</v>
      </c>
      <c r="G14" s="32"/>
      <c r="H14" s="33"/>
      <c r="I14" s="31">
        <f t="shared" ref="I14:I36" si="1">G14+H14</f>
        <v>0</v>
      </c>
      <c r="J14" s="32"/>
      <c r="K14" s="33"/>
      <c r="L14" s="31">
        <f t="shared" ref="L14:L36" si="2">J14+K14</f>
        <v>0</v>
      </c>
      <c r="M14" s="32"/>
      <c r="N14" s="33"/>
      <c r="O14" s="31">
        <f t="shared" ref="O14:O36" si="3">M14+N14</f>
        <v>0</v>
      </c>
      <c r="P14" s="32"/>
      <c r="Q14" s="33"/>
      <c r="R14" s="31">
        <f t="shared" ref="R14:R36" si="4">P14+Q14</f>
        <v>0</v>
      </c>
    </row>
    <row r="15" spans="2:18" x14ac:dyDescent="0.3">
      <c r="B15" s="18" t="s">
        <v>4</v>
      </c>
      <c r="C15" s="22" t="s">
        <v>127</v>
      </c>
      <c r="D15" s="29">
        <v>24213</v>
      </c>
      <c r="E15" s="30"/>
      <c r="F15" s="31">
        <f t="shared" si="0"/>
        <v>24213</v>
      </c>
      <c r="G15" s="29">
        <v>15109</v>
      </c>
      <c r="H15" s="30"/>
      <c r="I15" s="31">
        <f t="shared" si="1"/>
        <v>15109</v>
      </c>
      <c r="J15" s="29">
        <v>15699.8</v>
      </c>
      <c r="K15" s="30"/>
      <c r="L15" s="31">
        <f t="shared" si="2"/>
        <v>15699.8</v>
      </c>
      <c r="M15" s="29">
        <v>20870</v>
      </c>
      <c r="N15" s="30"/>
      <c r="O15" s="31">
        <f t="shared" si="3"/>
        <v>20870</v>
      </c>
      <c r="P15" s="29">
        <v>36396</v>
      </c>
      <c r="Q15" s="30"/>
      <c r="R15" s="31">
        <f t="shared" si="4"/>
        <v>36396</v>
      </c>
    </row>
    <row r="16" spans="2:18" x14ac:dyDescent="0.3">
      <c r="B16" s="18" t="s">
        <v>6</v>
      </c>
      <c r="C16" s="23" t="s">
        <v>96</v>
      </c>
      <c r="D16" s="29"/>
      <c r="E16" s="30"/>
      <c r="F16" s="31">
        <f t="shared" si="0"/>
        <v>0</v>
      </c>
      <c r="G16" s="29"/>
      <c r="H16" s="30"/>
      <c r="I16" s="31">
        <f t="shared" si="1"/>
        <v>0</v>
      </c>
      <c r="J16" s="29"/>
      <c r="K16" s="30"/>
      <c r="L16" s="31">
        <f t="shared" si="2"/>
        <v>0</v>
      </c>
      <c r="M16" s="29"/>
      <c r="N16" s="30"/>
      <c r="O16" s="31">
        <f t="shared" si="3"/>
        <v>0</v>
      </c>
      <c r="P16" s="29"/>
      <c r="Q16" s="30"/>
      <c r="R16" s="31">
        <f t="shared" si="4"/>
        <v>0</v>
      </c>
    </row>
    <row r="17" spans="2:18" x14ac:dyDescent="0.3">
      <c r="B17" s="18" t="s">
        <v>8</v>
      </c>
      <c r="C17" s="23" t="s">
        <v>97</v>
      </c>
      <c r="D17" s="29"/>
      <c r="E17" s="30"/>
      <c r="F17" s="31">
        <f t="shared" si="0"/>
        <v>0</v>
      </c>
      <c r="G17" s="29"/>
      <c r="H17" s="30"/>
      <c r="I17" s="31">
        <f t="shared" si="1"/>
        <v>0</v>
      </c>
      <c r="J17" s="29">
        <v>42.1</v>
      </c>
      <c r="K17" s="30"/>
      <c r="L17" s="31">
        <f t="shared" si="2"/>
        <v>42.1</v>
      </c>
      <c r="M17" s="29">
        <v>42</v>
      </c>
      <c r="N17" s="30"/>
      <c r="O17" s="31">
        <f t="shared" si="3"/>
        <v>42</v>
      </c>
      <c r="P17" s="29"/>
      <c r="Q17" s="30"/>
      <c r="R17" s="31">
        <f t="shared" si="4"/>
        <v>0</v>
      </c>
    </row>
    <row r="18" spans="2:18" x14ac:dyDescent="0.3">
      <c r="B18" s="18" t="s">
        <v>10</v>
      </c>
      <c r="C18" s="24" t="s">
        <v>3</v>
      </c>
      <c r="D18" s="32">
        <v>128</v>
      </c>
      <c r="E18" s="33">
        <v>33</v>
      </c>
      <c r="F18" s="31">
        <f t="shared" si="0"/>
        <v>161</v>
      </c>
      <c r="G18" s="32">
        <v>1271</v>
      </c>
      <c r="H18" s="33">
        <v>18</v>
      </c>
      <c r="I18" s="31">
        <f t="shared" si="1"/>
        <v>1289</v>
      </c>
      <c r="J18" s="32">
        <v>1462.6</v>
      </c>
      <c r="K18" s="33">
        <v>20.100000000000001</v>
      </c>
      <c r="L18" s="31">
        <f t="shared" si="2"/>
        <v>1482.6999999999998</v>
      </c>
      <c r="M18" s="32">
        <v>1384</v>
      </c>
      <c r="N18" s="33">
        <v>25</v>
      </c>
      <c r="O18" s="31">
        <f t="shared" si="3"/>
        <v>1409</v>
      </c>
      <c r="P18" s="32">
        <v>154</v>
      </c>
      <c r="Q18" s="33">
        <v>40</v>
      </c>
      <c r="R18" s="31">
        <f t="shared" si="4"/>
        <v>194</v>
      </c>
    </row>
    <row r="19" spans="2:18" x14ac:dyDescent="0.3">
      <c r="B19" s="18" t="s">
        <v>12</v>
      </c>
      <c r="C19" s="24" t="s">
        <v>5</v>
      </c>
      <c r="D19" s="32"/>
      <c r="E19" s="33"/>
      <c r="F19" s="31">
        <f t="shared" si="0"/>
        <v>0</v>
      </c>
      <c r="G19" s="32"/>
      <c r="H19" s="33">
        <v>18</v>
      </c>
      <c r="I19" s="31">
        <f t="shared" si="1"/>
        <v>18</v>
      </c>
      <c r="J19" s="32"/>
      <c r="K19" s="33">
        <v>20.100000000000001</v>
      </c>
      <c r="L19" s="31">
        <f t="shared" si="2"/>
        <v>20.100000000000001</v>
      </c>
      <c r="M19" s="32"/>
      <c r="N19" s="33">
        <v>25</v>
      </c>
      <c r="O19" s="31">
        <f t="shared" si="3"/>
        <v>25</v>
      </c>
      <c r="P19" s="32"/>
      <c r="Q19" s="33">
        <v>40</v>
      </c>
      <c r="R19" s="31">
        <f t="shared" si="4"/>
        <v>40</v>
      </c>
    </row>
    <row r="20" spans="2:18" x14ac:dyDescent="0.3">
      <c r="B20" s="18" t="s">
        <v>14</v>
      </c>
      <c r="C20" s="25" t="s">
        <v>7</v>
      </c>
      <c r="D20" s="32"/>
      <c r="E20" s="33"/>
      <c r="F20" s="31">
        <f t="shared" si="0"/>
        <v>0</v>
      </c>
      <c r="G20" s="32"/>
      <c r="H20" s="33"/>
      <c r="I20" s="31">
        <f t="shared" si="1"/>
        <v>0</v>
      </c>
      <c r="J20" s="32"/>
      <c r="K20" s="33"/>
      <c r="L20" s="31">
        <f t="shared" si="2"/>
        <v>0</v>
      </c>
      <c r="M20" s="32"/>
      <c r="N20" s="33"/>
      <c r="O20" s="31">
        <f t="shared" si="3"/>
        <v>0</v>
      </c>
      <c r="P20" s="32"/>
      <c r="Q20" s="33"/>
      <c r="R20" s="31">
        <f t="shared" si="4"/>
        <v>0</v>
      </c>
    </row>
    <row r="21" spans="2:18" x14ac:dyDescent="0.3">
      <c r="B21" s="19" t="s">
        <v>16</v>
      </c>
      <c r="C21" s="26" t="s">
        <v>9</v>
      </c>
      <c r="D21" s="34">
        <f>SUM(D13:D18)</f>
        <v>68351</v>
      </c>
      <c r="E21" s="34">
        <f>SUM(E13:E18)</f>
        <v>33</v>
      </c>
      <c r="F21" s="35">
        <f>D21+E21</f>
        <v>68384</v>
      </c>
      <c r="G21" s="34">
        <f>SUM(G13:G18)</f>
        <v>61380</v>
      </c>
      <c r="H21" s="34">
        <f>SUM(H13:H18)</f>
        <v>18</v>
      </c>
      <c r="I21" s="35">
        <f t="shared" si="1"/>
        <v>61398</v>
      </c>
      <c r="J21" s="34">
        <f>SUM(J13:J18)</f>
        <v>41830.199999999997</v>
      </c>
      <c r="K21" s="34">
        <f>SUM(K13:K18)</f>
        <v>105.1</v>
      </c>
      <c r="L21" s="35">
        <f t="shared" si="2"/>
        <v>41935.299999999996</v>
      </c>
      <c r="M21" s="34">
        <f>SUM(M13:M18)</f>
        <v>67296</v>
      </c>
      <c r="N21" s="34">
        <f>SUM(N13:N18)</f>
        <v>110</v>
      </c>
      <c r="O21" s="35">
        <f t="shared" si="3"/>
        <v>67406</v>
      </c>
      <c r="P21" s="34">
        <f>SUM(P13:P18)</f>
        <v>84817</v>
      </c>
      <c r="Q21" s="34">
        <f>SUM(Q13:Q18)</f>
        <v>40</v>
      </c>
      <c r="R21" s="35">
        <f t="shared" si="4"/>
        <v>84857</v>
      </c>
    </row>
    <row r="22" spans="2:18" x14ac:dyDescent="0.3">
      <c r="B22" s="18" t="s">
        <v>18</v>
      </c>
      <c r="C22" s="24" t="s">
        <v>11</v>
      </c>
      <c r="D22" s="32">
        <v>480</v>
      </c>
      <c r="E22" s="33"/>
      <c r="F22" s="31">
        <f t="shared" si="0"/>
        <v>480</v>
      </c>
      <c r="G22" s="32">
        <v>480</v>
      </c>
      <c r="H22" s="33"/>
      <c r="I22" s="31">
        <f t="shared" si="1"/>
        <v>480</v>
      </c>
      <c r="J22" s="32">
        <v>278.19</v>
      </c>
      <c r="K22" s="33">
        <v>0</v>
      </c>
      <c r="L22" s="31">
        <f t="shared" si="2"/>
        <v>278.19</v>
      </c>
      <c r="M22" s="32">
        <v>480</v>
      </c>
      <c r="N22" s="33"/>
      <c r="O22" s="31">
        <f t="shared" si="3"/>
        <v>480</v>
      </c>
      <c r="P22" s="32">
        <v>883</v>
      </c>
      <c r="Q22" s="33"/>
      <c r="R22" s="31">
        <f t="shared" si="4"/>
        <v>883</v>
      </c>
    </row>
    <row r="23" spans="2:18" x14ac:dyDescent="0.3">
      <c r="B23" s="18" t="s">
        <v>20</v>
      </c>
      <c r="C23" s="24" t="s">
        <v>13</v>
      </c>
      <c r="D23" s="32">
        <v>11702</v>
      </c>
      <c r="E23" s="33">
        <v>33</v>
      </c>
      <c r="F23" s="31">
        <f t="shared" si="0"/>
        <v>11735</v>
      </c>
      <c r="G23" s="32">
        <v>11717</v>
      </c>
      <c r="H23" s="33">
        <v>18</v>
      </c>
      <c r="I23" s="31">
        <f t="shared" si="1"/>
        <v>11735</v>
      </c>
      <c r="J23" s="32">
        <v>5517.99</v>
      </c>
      <c r="K23" s="33">
        <v>1.53</v>
      </c>
      <c r="L23" s="31">
        <f t="shared" si="2"/>
        <v>5519.5199999999995</v>
      </c>
      <c r="M23" s="32">
        <v>11717</v>
      </c>
      <c r="N23" s="33">
        <v>18</v>
      </c>
      <c r="O23" s="31">
        <f t="shared" si="3"/>
        <v>11735</v>
      </c>
      <c r="P23" s="32">
        <v>12967</v>
      </c>
      <c r="Q23" s="33"/>
      <c r="R23" s="31">
        <f t="shared" si="4"/>
        <v>12967</v>
      </c>
    </row>
    <row r="24" spans="2:18" x14ac:dyDescent="0.3">
      <c r="B24" s="18" t="s">
        <v>21</v>
      </c>
      <c r="C24" s="24" t="s">
        <v>15</v>
      </c>
      <c r="D24" s="32">
        <v>7900</v>
      </c>
      <c r="E24" s="33"/>
      <c r="F24" s="31">
        <f t="shared" si="0"/>
        <v>7900</v>
      </c>
      <c r="G24" s="32">
        <v>7900</v>
      </c>
      <c r="H24" s="33"/>
      <c r="I24" s="31">
        <f t="shared" si="1"/>
        <v>7900</v>
      </c>
      <c r="J24" s="32">
        <v>3982.09</v>
      </c>
      <c r="K24" s="33">
        <v>0</v>
      </c>
      <c r="L24" s="31">
        <f t="shared" si="2"/>
        <v>3982.09</v>
      </c>
      <c r="M24" s="32">
        <v>7900</v>
      </c>
      <c r="N24" s="33"/>
      <c r="O24" s="31">
        <f t="shared" si="3"/>
        <v>7900</v>
      </c>
      <c r="P24" s="32">
        <v>8970</v>
      </c>
      <c r="Q24" s="33"/>
      <c r="R24" s="31">
        <f t="shared" si="4"/>
        <v>8970</v>
      </c>
    </row>
    <row r="25" spans="2:18" x14ac:dyDescent="0.3">
      <c r="B25" s="18" t="s">
        <v>23</v>
      </c>
      <c r="C25" s="24" t="s">
        <v>17</v>
      </c>
      <c r="D25" s="32">
        <v>4718</v>
      </c>
      <c r="E25" s="33"/>
      <c r="F25" s="31">
        <f t="shared" si="0"/>
        <v>4718</v>
      </c>
      <c r="G25" s="32">
        <v>4718</v>
      </c>
      <c r="H25" s="33"/>
      <c r="I25" s="31">
        <f t="shared" si="1"/>
        <v>4718</v>
      </c>
      <c r="J25" s="32">
        <v>2173.7399999999998</v>
      </c>
      <c r="K25" s="33">
        <v>0</v>
      </c>
      <c r="L25" s="31">
        <f t="shared" si="2"/>
        <v>2173.7399999999998</v>
      </c>
      <c r="M25" s="32">
        <v>4718</v>
      </c>
      <c r="N25" s="33"/>
      <c r="O25" s="31">
        <f t="shared" si="3"/>
        <v>4718</v>
      </c>
      <c r="P25" s="32">
        <v>5264</v>
      </c>
      <c r="Q25" s="33"/>
      <c r="R25" s="31">
        <f t="shared" si="4"/>
        <v>5264</v>
      </c>
    </row>
    <row r="26" spans="2:18" x14ac:dyDescent="0.3">
      <c r="B26" s="18" t="s">
        <v>25</v>
      </c>
      <c r="C26" s="24" t="s">
        <v>19</v>
      </c>
      <c r="D26" s="32">
        <v>43640</v>
      </c>
      <c r="E26" s="33"/>
      <c r="F26" s="31">
        <f t="shared" si="0"/>
        <v>43640</v>
      </c>
      <c r="G26" s="32">
        <v>43640</v>
      </c>
      <c r="H26" s="33"/>
      <c r="I26" s="31">
        <f t="shared" si="1"/>
        <v>43640</v>
      </c>
      <c r="J26" s="32">
        <v>21638.01</v>
      </c>
      <c r="K26" s="33">
        <v>28.8</v>
      </c>
      <c r="L26" s="31">
        <f t="shared" si="2"/>
        <v>21666.809999999998</v>
      </c>
      <c r="M26" s="32">
        <v>47879</v>
      </c>
      <c r="N26" s="33">
        <v>29</v>
      </c>
      <c r="O26" s="31">
        <f t="shared" si="3"/>
        <v>47908</v>
      </c>
      <c r="P26" s="32">
        <v>54833</v>
      </c>
      <c r="Q26" s="33"/>
      <c r="R26" s="31">
        <f t="shared" si="4"/>
        <v>54833</v>
      </c>
    </row>
    <row r="27" spans="2:18" x14ac:dyDescent="0.3">
      <c r="B27" s="18" t="s">
        <v>27</v>
      </c>
      <c r="C27" s="24" t="s">
        <v>50</v>
      </c>
      <c r="D27" s="32">
        <v>43490</v>
      </c>
      <c r="E27" s="33"/>
      <c r="F27" s="31">
        <f t="shared" si="0"/>
        <v>43490</v>
      </c>
      <c r="G27" s="32">
        <v>43490</v>
      </c>
      <c r="H27" s="33"/>
      <c r="I27" s="31">
        <f t="shared" si="1"/>
        <v>43490</v>
      </c>
      <c r="J27" s="32">
        <v>21498.61</v>
      </c>
      <c r="K27" s="33">
        <v>0</v>
      </c>
      <c r="L27" s="31">
        <f t="shared" si="2"/>
        <v>21498.61</v>
      </c>
      <c r="M27" s="32">
        <v>47729</v>
      </c>
      <c r="N27" s="33"/>
      <c r="O27" s="31">
        <f t="shared" si="3"/>
        <v>47729</v>
      </c>
      <c r="P27" s="32">
        <v>54683</v>
      </c>
      <c r="Q27" s="33"/>
      <c r="R27" s="31">
        <f t="shared" si="4"/>
        <v>54683</v>
      </c>
    </row>
    <row r="28" spans="2:18" x14ac:dyDescent="0.3">
      <c r="B28" s="18" t="s">
        <v>29</v>
      </c>
      <c r="C28" s="25" t="s">
        <v>22</v>
      </c>
      <c r="D28" s="32">
        <v>150</v>
      </c>
      <c r="E28" s="33"/>
      <c r="F28" s="31">
        <f t="shared" si="0"/>
        <v>150</v>
      </c>
      <c r="G28" s="32">
        <v>150</v>
      </c>
      <c r="H28" s="33"/>
      <c r="I28" s="31">
        <f t="shared" si="1"/>
        <v>150</v>
      </c>
      <c r="J28" s="32">
        <v>139.4</v>
      </c>
      <c r="K28" s="33">
        <v>28.8</v>
      </c>
      <c r="L28" s="31">
        <f t="shared" si="2"/>
        <v>168.20000000000002</v>
      </c>
      <c r="M28" s="32">
        <v>150</v>
      </c>
      <c r="N28" s="33">
        <v>29</v>
      </c>
      <c r="O28" s="31">
        <f t="shared" si="3"/>
        <v>179</v>
      </c>
      <c r="P28" s="32">
        <v>150</v>
      </c>
      <c r="Q28" s="33"/>
      <c r="R28" s="31">
        <f t="shared" si="4"/>
        <v>150</v>
      </c>
    </row>
    <row r="29" spans="2:18" x14ac:dyDescent="0.3">
      <c r="B29" s="18" t="s">
        <v>31</v>
      </c>
      <c r="C29" s="24" t="s">
        <v>24</v>
      </c>
      <c r="D29" s="32">
        <v>14838</v>
      </c>
      <c r="E29" s="33"/>
      <c r="F29" s="31">
        <f t="shared" si="0"/>
        <v>14838</v>
      </c>
      <c r="G29" s="32">
        <v>14838</v>
      </c>
      <c r="H29" s="33"/>
      <c r="I29" s="31">
        <f t="shared" si="1"/>
        <v>14838</v>
      </c>
      <c r="J29" s="32">
        <v>7268.37</v>
      </c>
      <c r="K29" s="33">
        <v>9.7899999999999991</v>
      </c>
      <c r="L29" s="31">
        <f t="shared" si="2"/>
        <v>7278.16</v>
      </c>
      <c r="M29" s="32">
        <v>16279</v>
      </c>
      <c r="N29" s="33">
        <v>10</v>
      </c>
      <c r="O29" s="31">
        <f t="shared" si="3"/>
        <v>16289</v>
      </c>
      <c r="P29" s="32">
        <v>18747</v>
      </c>
      <c r="Q29" s="33"/>
      <c r="R29" s="31">
        <f t="shared" si="4"/>
        <v>18747</v>
      </c>
    </row>
    <row r="30" spans="2:18" x14ac:dyDescent="0.3">
      <c r="B30" s="18" t="s">
        <v>33</v>
      </c>
      <c r="C30" s="24" t="s">
        <v>26</v>
      </c>
      <c r="D30" s="32">
        <v>1</v>
      </c>
      <c r="E30" s="33"/>
      <c r="F30" s="31">
        <f t="shared" si="0"/>
        <v>1</v>
      </c>
      <c r="G30" s="32">
        <v>1</v>
      </c>
      <c r="H30" s="33"/>
      <c r="I30" s="31">
        <f t="shared" si="1"/>
        <v>1</v>
      </c>
      <c r="J30" s="32">
        <v>1</v>
      </c>
      <c r="K30" s="33">
        <v>0</v>
      </c>
      <c r="L30" s="31">
        <f t="shared" si="2"/>
        <v>1</v>
      </c>
      <c r="M30" s="32">
        <v>1</v>
      </c>
      <c r="N30" s="33"/>
      <c r="O30" s="31">
        <f t="shared" si="3"/>
        <v>1</v>
      </c>
      <c r="P30" s="32">
        <v>2</v>
      </c>
      <c r="Q30" s="33"/>
      <c r="R30" s="31">
        <f t="shared" si="4"/>
        <v>2</v>
      </c>
    </row>
    <row r="31" spans="2:18" x14ac:dyDescent="0.3">
      <c r="B31" s="18" t="s">
        <v>34</v>
      </c>
      <c r="C31" s="24" t="s">
        <v>28</v>
      </c>
      <c r="D31" s="32">
        <v>446</v>
      </c>
      <c r="E31" s="33"/>
      <c r="F31" s="31">
        <f t="shared" si="0"/>
        <v>446</v>
      </c>
      <c r="G31" s="32">
        <v>446</v>
      </c>
      <c r="H31" s="33"/>
      <c r="I31" s="31">
        <f t="shared" si="1"/>
        <v>446</v>
      </c>
      <c r="J31" s="32">
        <v>219.73</v>
      </c>
      <c r="K31" s="33">
        <v>0</v>
      </c>
      <c r="L31" s="31">
        <f t="shared" si="2"/>
        <v>219.73</v>
      </c>
      <c r="M31" s="32">
        <v>446</v>
      </c>
      <c r="N31" s="33"/>
      <c r="O31" s="31">
        <f t="shared" si="3"/>
        <v>446</v>
      </c>
      <c r="P31" s="32">
        <v>619</v>
      </c>
      <c r="Q31" s="33"/>
      <c r="R31" s="31">
        <f t="shared" si="4"/>
        <v>619</v>
      </c>
    </row>
    <row r="32" spans="2:18" x14ac:dyDescent="0.3">
      <c r="B32" s="18" t="s">
        <v>36</v>
      </c>
      <c r="C32" s="24" t="s">
        <v>30</v>
      </c>
      <c r="D32" s="32">
        <v>7626</v>
      </c>
      <c r="E32" s="33"/>
      <c r="F32" s="31">
        <f t="shared" si="0"/>
        <v>7626</v>
      </c>
      <c r="G32" s="32">
        <v>7626</v>
      </c>
      <c r="H32" s="33"/>
      <c r="I32" s="31">
        <f t="shared" si="1"/>
        <v>7626</v>
      </c>
      <c r="J32" s="32">
        <v>2862.34</v>
      </c>
      <c r="K32" s="33">
        <v>0</v>
      </c>
      <c r="L32" s="31">
        <f t="shared" si="2"/>
        <v>2862.34</v>
      </c>
      <c r="M32" s="32">
        <v>7722</v>
      </c>
      <c r="N32" s="33"/>
      <c r="O32" s="31">
        <f t="shared" si="3"/>
        <v>7722</v>
      </c>
      <c r="P32" s="32">
        <v>3572</v>
      </c>
      <c r="Q32" s="33"/>
      <c r="R32" s="31">
        <f t="shared" si="4"/>
        <v>3572</v>
      </c>
    </row>
    <row r="33" spans="2:18" x14ac:dyDescent="0.3">
      <c r="B33" s="18" t="s">
        <v>37</v>
      </c>
      <c r="C33" s="24" t="s">
        <v>120</v>
      </c>
      <c r="D33" s="32">
        <f>D38</f>
        <v>0</v>
      </c>
      <c r="E33" s="32">
        <f>E38</f>
        <v>0</v>
      </c>
      <c r="F33" s="31">
        <f>D33+E33</f>
        <v>0</v>
      </c>
      <c r="G33" s="32">
        <f>G38</f>
        <v>0</v>
      </c>
      <c r="H33" s="32">
        <f>H38</f>
        <v>0</v>
      </c>
      <c r="I33" s="31">
        <f t="shared" si="1"/>
        <v>0</v>
      </c>
      <c r="J33" s="32">
        <f>J38</f>
        <v>0</v>
      </c>
      <c r="K33" s="32">
        <f>K38</f>
        <v>0</v>
      </c>
      <c r="L33" s="31">
        <f t="shared" si="2"/>
        <v>0</v>
      </c>
      <c r="M33" s="32">
        <f>M38</f>
        <v>0</v>
      </c>
      <c r="N33" s="32">
        <f>N38</f>
        <v>0</v>
      </c>
      <c r="O33" s="31">
        <f t="shared" si="3"/>
        <v>0</v>
      </c>
      <c r="P33" s="32">
        <f>P38</f>
        <v>223.6</v>
      </c>
      <c r="Q33" s="32">
        <f>Q38</f>
        <v>0</v>
      </c>
      <c r="R33" s="31">
        <f t="shared" si="4"/>
        <v>223.6</v>
      </c>
    </row>
    <row r="34" spans="2:18" x14ac:dyDescent="0.3">
      <c r="B34" s="19" t="s">
        <v>38</v>
      </c>
      <c r="C34" s="26" t="s">
        <v>32</v>
      </c>
      <c r="D34" s="34">
        <f>SUM(D22:D26)+SUM(D29:D32)</f>
        <v>91351</v>
      </c>
      <c r="E34" s="34">
        <f>SUM(E22:E26)+SUM(E29:E32)</f>
        <v>33</v>
      </c>
      <c r="F34" s="35">
        <f>D34+E34</f>
        <v>91384</v>
      </c>
      <c r="G34" s="34">
        <f>SUM(G22:G26)+SUM(G29:G32)</f>
        <v>91366</v>
      </c>
      <c r="H34" s="34">
        <f>SUM(H22:H26)+SUM(H29:H32)</f>
        <v>18</v>
      </c>
      <c r="I34" s="35">
        <f>G34+H34</f>
        <v>91384</v>
      </c>
      <c r="J34" s="34">
        <f>SUM(J22:J26)+SUM(J29:J32)</f>
        <v>43941.459999999992</v>
      </c>
      <c r="K34" s="34">
        <f>SUM(K22:K26)+SUM(K29:K32)</f>
        <v>40.120000000000005</v>
      </c>
      <c r="L34" s="35">
        <f>J34+K34</f>
        <v>43981.579999999994</v>
      </c>
      <c r="M34" s="34">
        <f>SUM(M22:M26)+SUM(M29:M32)</f>
        <v>97142</v>
      </c>
      <c r="N34" s="34">
        <f>SUM(N22:N26)+SUM(N29:N32)</f>
        <v>57</v>
      </c>
      <c r="O34" s="35">
        <f>M34+N34</f>
        <v>97199</v>
      </c>
      <c r="P34" s="34">
        <f>SUM(P22:P26)+SUM(P29:P32)</f>
        <v>105857</v>
      </c>
      <c r="Q34" s="34">
        <f>SUM(Q22:Q26)+SUM(Q29:Q32)</f>
        <v>0</v>
      </c>
      <c r="R34" s="35">
        <f>P34+Q34</f>
        <v>105857</v>
      </c>
    </row>
    <row r="35" spans="2:18" x14ac:dyDescent="0.3">
      <c r="B35" s="19" t="s">
        <v>98</v>
      </c>
      <c r="C35" s="26" t="s">
        <v>115</v>
      </c>
      <c r="D35" s="34">
        <f>D21-D34</f>
        <v>-23000</v>
      </c>
      <c r="E35" s="34">
        <f>E21-E34</f>
        <v>0</v>
      </c>
      <c r="F35" s="35">
        <f t="shared" si="0"/>
        <v>-23000</v>
      </c>
      <c r="G35" s="34">
        <f>G21-G34</f>
        <v>-29986</v>
      </c>
      <c r="H35" s="34">
        <f>H21-H34</f>
        <v>0</v>
      </c>
      <c r="I35" s="35">
        <f t="shared" si="1"/>
        <v>-29986</v>
      </c>
      <c r="J35" s="34">
        <f>J21-J34</f>
        <v>-2111.2599999999948</v>
      </c>
      <c r="K35" s="34">
        <f>K21-K34</f>
        <v>64.97999999999999</v>
      </c>
      <c r="L35" s="35">
        <f t="shared" si="2"/>
        <v>-2046.2799999999947</v>
      </c>
      <c r="M35" s="34">
        <f>M21-M34</f>
        <v>-29846</v>
      </c>
      <c r="N35" s="34">
        <f>N21-N34</f>
        <v>53</v>
      </c>
      <c r="O35" s="35">
        <f t="shared" si="3"/>
        <v>-29793</v>
      </c>
      <c r="P35" s="34">
        <f>P21-P34</f>
        <v>-21040</v>
      </c>
      <c r="Q35" s="34">
        <f>Q21-Q34</f>
        <v>40</v>
      </c>
      <c r="R35" s="35">
        <f t="shared" si="4"/>
        <v>-21000</v>
      </c>
    </row>
    <row r="36" spans="2:18" x14ac:dyDescent="0.3">
      <c r="B36" s="19" t="s">
        <v>99</v>
      </c>
      <c r="C36" s="57" t="s">
        <v>94</v>
      </c>
      <c r="D36" s="34">
        <v>23000</v>
      </c>
      <c r="E36" s="58"/>
      <c r="F36" s="35">
        <f t="shared" si="0"/>
        <v>23000</v>
      </c>
      <c r="G36" s="34">
        <v>29986</v>
      </c>
      <c r="H36" s="58"/>
      <c r="I36" s="35">
        <f t="shared" si="1"/>
        <v>29986</v>
      </c>
      <c r="J36" s="34">
        <v>11500</v>
      </c>
      <c r="K36" s="58"/>
      <c r="L36" s="35">
        <f t="shared" si="2"/>
        <v>11500</v>
      </c>
      <c r="M36" s="34">
        <v>29846</v>
      </c>
      <c r="N36" s="58"/>
      <c r="O36" s="35">
        <f t="shared" si="3"/>
        <v>29846</v>
      </c>
      <c r="P36" s="34">
        <v>21000</v>
      </c>
      <c r="Q36" s="58"/>
      <c r="R36" s="35">
        <f t="shared" si="4"/>
        <v>21000</v>
      </c>
    </row>
    <row r="37" spans="2:18" ht="15" thickBot="1" x14ac:dyDescent="0.35">
      <c r="B37" s="27" t="s">
        <v>100</v>
      </c>
      <c r="C37" s="40" t="s">
        <v>119</v>
      </c>
      <c r="D37" s="41">
        <f>D35+D36</f>
        <v>0</v>
      </c>
      <c r="E37" s="41">
        <f>E35+E36</f>
        <v>0</v>
      </c>
      <c r="F37" s="42">
        <f>D37+E37</f>
        <v>0</v>
      </c>
      <c r="G37" s="41">
        <f>G35+G36</f>
        <v>0</v>
      </c>
      <c r="H37" s="41">
        <f>H35+H36</f>
        <v>0</v>
      </c>
      <c r="I37" s="42">
        <f>G37+H37</f>
        <v>0</v>
      </c>
      <c r="J37" s="41">
        <f>J35+J36</f>
        <v>9388.7400000000052</v>
      </c>
      <c r="K37" s="41">
        <f>K35+K36</f>
        <v>64.97999999999999</v>
      </c>
      <c r="L37" s="42">
        <f>J37+K37</f>
        <v>9453.7200000000048</v>
      </c>
      <c r="M37" s="41">
        <f>M35+M36</f>
        <v>0</v>
      </c>
      <c r="N37" s="41">
        <f>N35+N36</f>
        <v>53</v>
      </c>
      <c r="O37" s="42">
        <f>M37+N37</f>
        <v>53</v>
      </c>
      <c r="P37" s="41">
        <f>P35+P36</f>
        <v>-40</v>
      </c>
      <c r="Q37" s="41">
        <f>Q35+Q36</f>
        <v>40</v>
      </c>
      <c r="R37" s="42">
        <f>P37+Q37</f>
        <v>0</v>
      </c>
    </row>
    <row r="38" spans="2:18" x14ac:dyDescent="0.3">
      <c r="B38" s="49" t="s">
        <v>101</v>
      </c>
      <c r="C38" s="43" t="s">
        <v>35</v>
      </c>
      <c r="D38" s="44">
        <f>SUM(D39:D40)</f>
        <v>0</v>
      </c>
      <c r="E38" s="44">
        <f>SUM(E39:E40)</f>
        <v>0</v>
      </c>
      <c r="F38" s="45">
        <f t="shared" si="0"/>
        <v>0</v>
      </c>
      <c r="G38" s="44">
        <f>SUM(G39:G40)</f>
        <v>0</v>
      </c>
      <c r="H38" s="44">
        <f>SUM(H39:H40)</f>
        <v>0</v>
      </c>
      <c r="I38" s="45">
        <f t="shared" ref="I38:I41" si="5">G38+H38</f>
        <v>0</v>
      </c>
      <c r="J38" s="44">
        <f>SUM(J39:J40)</f>
        <v>0</v>
      </c>
      <c r="K38" s="44">
        <f>SUM(K39:K40)</f>
        <v>0</v>
      </c>
      <c r="L38" s="45">
        <f t="shared" ref="L38:L41" si="6">J38+K38</f>
        <v>0</v>
      </c>
      <c r="M38" s="44">
        <f>SUM(M39:M40)</f>
        <v>0</v>
      </c>
      <c r="N38" s="44">
        <f>SUM(N39:N40)</f>
        <v>0</v>
      </c>
      <c r="O38" s="45">
        <f t="shared" ref="O38:O41" si="7">M38+N38</f>
        <v>0</v>
      </c>
      <c r="P38" s="44">
        <f>SUM(P39:P40)</f>
        <v>223.6</v>
      </c>
      <c r="Q38" s="44">
        <f>SUM(Q39:Q40)</f>
        <v>0</v>
      </c>
      <c r="R38" s="45">
        <f t="shared" ref="R38:R41" si="8">P38+Q38</f>
        <v>223.6</v>
      </c>
    </row>
    <row r="39" spans="2:18" x14ac:dyDescent="0.3">
      <c r="B39" s="50" t="s">
        <v>116</v>
      </c>
      <c r="C39" s="24" t="s">
        <v>51</v>
      </c>
      <c r="D39" s="32"/>
      <c r="E39" s="33"/>
      <c r="F39" s="31">
        <f t="shared" si="0"/>
        <v>0</v>
      </c>
      <c r="G39" s="32"/>
      <c r="H39" s="33"/>
      <c r="I39" s="31">
        <f t="shared" si="5"/>
        <v>0</v>
      </c>
      <c r="J39" s="32"/>
      <c r="K39" s="33"/>
      <c r="L39" s="31">
        <f t="shared" si="6"/>
        <v>0</v>
      </c>
      <c r="M39" s="32"/>
      <c r="N39" s="33"/>
      <c r="O39" s="31">
        <f t="shared" si="7"/>
        <v>0</v>
      </c>
      <c r="P39" s="32"/>
      <c r="Q39" s="33"/>
      <c r="R39" s="31">
        <f t="shared" si="8"/>
        <v>0</v>
      </c>
    </row>
    <row r="40" spans="2:18" ht="15" thickBot="1" x14ac:dyDescent="0.35">
      <c r="B40" s="52" t="s">
        <v>117</v>
      </c>
      <c r="C40" s="46" t="s">
        <v>197</v>
      </c>
      <c r="D40" s="47"/>
      <c r="E40" s="48"/>
      <c r="F40" s="42">
        <f t="shared" si="0"/>
        <v>0</v>
      </c>
      <c r="G40" s="47"/>
      <c r="H40" s="48"/>
      <c r="I40" s="42">
        <f t="shared" si="5"/>
        <v>0</v>
      </c>
      <c r="J40" s="47"/>
      <c r="K40" s="48"/>
      <c r="L40" s="42">
        <f t="shared" si="6"/>
        <v>0</v>
      </c>
      <c r="M40" s="47"/>
      <c r="N40" s="48"/>
      <c r="O40" s="42">
        <f t="shared" si="7"/>
        <v>0</v>
      </c>
      <c r="P40" s="47">
        <v>223.6</v>
      </c>
      <c r="Q40" s="48"/>
      <c r="R40" s="42">
        <f t="shared" si="8"/>
        <v>223.6</v>
      </c>
    </row>
    <row r="41" spans="2:18" ht="15" thickBot="1" x14ac:dyDescent="0.35">
      <c r="B41" s="51" t="s">
        <v>118</v>
      </c>
      <c r="C41" s="28" t="s">
        <v>39</v>
      </c>
      <c r="D41" s="37"/>
      <c r="E41" s="38"/>
      <c r="F41" s="39">
        <f t="shared" si="0"/>
        <v>0</v>
      </c>
      <c r="G41" s="37"/>
      <c r="H41" s="38"/>
      <c r="I41" s="39">
        <f t="shared" si="5"/>
        <v>0</v>
      </c>
      <c r="J41" s="37"/>
      <c r="K41" s="38"/>
      <c r="L41" s="39">
        <f t="shared" si="6"/>
        <v>0</v>
      </c>
      <c r="M41" s="37"/>
      <c r="N41" s="38"/>
      <c r="O41" s="39">
        <f t="shared" si="7"/>
        <v>0</v>
      </c>
      <c r="P41" s="37"/>
      <c r="Q41" s="38"/>
      <c r="R41" s="39">
        <f t="shared" si="8"/>
        <v>0</v>
      </c>
    </row>
    <row r="42" spans="2:18" x14ac:dyDescent="0.3"/>
    <row r="43" spans="2:18" x14ac:dyDescent="0.3"/>
    <row r="44" spans="2:18" x14ac:dyDescent="0.3">
      <c r="B44" s="1" t="s">
        <v>70</v>
      </c>
    </row>
    <row r="45" spans="2:18" x14ac:dyDescent="0.3"/>
    <row r="46" spans="2:18" x14ac:dyDescent="0.3">
      <c r="B46" s="152" t="s">
        <v>68</v>
      </c>
      <c r="C46" s="154"/>
      <c r="D46" s="54" t="s">
        <v>55</v>
      </c>
      <c r="F46" s="152" t="s">
        <v>76</v>
      </c>
      <c r="G46" s="153"/>
      <c r="H46" s="153"/>
      <c r="I46" s="153"/>
      <c r="J46" s="154"/>
      <c r="K46" s="55" t="s">
        <v>75</v>
      </c>
      <c r="M46" s="152" t="s">
        <v>74</v>
      </c>
      <c r="N46" s="153"/>
      <c r="O46" s="153"/>
      <c r="P46" s="153"/>
      <c r="Q46" s="154"/>
      <c r="R46" s="2" t="s">
        <v>75</v>
      </c>
    </row>
    <row r="47" spans="2:18" x14ac:dyDescent="0.3">
      <c r="B47" s="160" t="s">
        <v>192</v>
      </c>
      <c r="C47" s="161"/>
      <c r="D47" s="33">
        <v>702.92</v>
      </c>
      <c r="F47" s="155" t="s">
        <v>194</v>
      </c>
      <c r="G47" s="155"/>
      <c r="H47" s="155"/>
      <c r="I47" s="155"/>
      <c r="J47" s="155"/>
      <c r="K47" s="56">
        <f>261.71+91.94</f>
        <v>353.65</v>
      </c>
      <c r="M47" s="160" t="s">
        <v>196</v>
      </c>
      <c r="N47" s="168"/>
      <c r="O47" s="168"/>
      <c r="P47" s="168"/>
      <c r="Q47" s="161"/>
      <c r="R47" s="2">
        <v>109.59</v>
      </c>
    </row>
    <row r="48" spans="2:18" x14ac:dyDescent="0.3">
      <c r="B48" s="160" t="s">
        <v>56</v>
      </c>
      <c r="C48" s="161"/>
      <c r="D48" s="33">
        <v>0</v>
      </c>
      <c r="F48" s="155" t="s">
        <v>77</v>
      </c>
      <c r="G48" s="155"/>
      <c r="H48" s="155"/>
      <c r="I48" s="155"/>
      <c r="J48" s="155"/>
      <c r="K48" s="56">
        <v>40</v>
      </c>
      <c r="M48" s="160" t="s">
        <v>78</v>
      </c>
      <c r="N48" s="168"/>
      <c r="O48" s="168"/>
      <c r="P48" s="168"/>
      <c r="Q48" s="161"/>
      <c r="R48" s="2">
        <v>0</v>
      </c>
    </row>
    <row r="49" spans="2:18" x14ac:dyDescent="0.3">
      <c r="B49" s="160" t="s">
        <v>57</v>
      </c>
      <c r="C49" s="161"/>
      <c r="D49" s="33">
        <v>619</v>
      </c>
      <c r="F49" s="155" t="s">
        <v>71</v>
      </c>
      <c r="G49" s="155"/>
      <c r="H49" s="155"/>
      <c r="I49" s="155"/>
      <c r="J49" s="155"/>
      <c r="K49" s="56">
        <v>0</v>
      </c>
      <c r="M49" s="152" t="s">
        <v>79</v>
      </c>
      <c r="N49" s="153"/>
      <c r="O49" s="153"/>
      <c r="P49" s="153"/>
      <c r="Q49" s="154"/>
      <c r="R49" s="2"/>
    </row>
    <row r="50" spans="2:18" x14ac:dyDescent="0.3">
      <c r="B50" s="160" t="s">
        <v>58</v>
      </c>
      <c r="C50" s="161"/>
      <c r="D50" s="33">
        <v>0</v>
      </c>
      <c r="F50" s="162" t="s">
        <v>79</v>
      </c>
      <c r="G50" s="162"/>
      <c r="H50" s="162"/>
      <c r="I50" s="162"/>
      <c r="J50" s="162"/>
      <c r="K50" s="36">
        <f>SUM(K47:K49)</f>
        <v>393.65</v>
      </c>
      <c r="M50" s="160"/>
      <c r="N50" s="168"/>
      <c r="O50" s="168"/>
      <c r="P50" s="168"/>
      <c r="Q50" s="161"/>
      <c r="R50" s="2"/>
    </row>
    <row r="51" spans="2:18" x14ac:dyDescent="0.3">
      <c r="B51" s="160" t="s">
        <v>59</v>
      </c>
      <c r="C51" s="161"/>
      <c r="D51" s="33">
        <v>0</v>
      </c>
      <c r="F51" s="162"/>
      <c r="G51" s="162"/>
      <c r="H51" s="162"/>
      <c r="I51" s="162"/>
      <c r="J51" s="162"/>
      <c r="K51" s="36"/>
      <c r="M51" s="160" t="s">
        <v>81</v>
      </c>
      <c r="N51" s="168"/>
      <c r="O51" s="168"/>
      <c r="P51" s="168"/>
      <c r="Q51" s="161"/>
      <c r="R51" s="2">
        <v>0</v>
      </c>
    </row>
    <row r="52" spans="2:18" x14ac:dyDescent="0.3">
      <c r="B52" s="160" t="s">
        <v>60</v>
      </c>
      <c r="C52" s="161"/>
      <c r="D52" s="33">
        <v>0</v>
      </c>
      <c r="F52" s="155" t="s">
        <v>80</v>
      </c>
      <c r="G52" s="155"/>
      <c r="H52" s="155"/>
      <c r="I52" s="155"/>
      <c r="J52" s="155"/>
      <c r="K52" s="56">
        <v>0</v>
      </c>
      <c r="M52" s="152" t="s">
        <v>83</v>
      </c>
      <c r="N52" s="153"/>
      <c r="O52" s="153"/>
      <c r="P52" s="153"/>
      <c r="Q52" s="154"/>
      <c r="R52" s="2">
        <v>0</v>
      </c>
    </row>
    <row r="53" spans="2:18" s="1" customFormat="1" x14ac:dyDescent="0.3">
      <c r="B53" s="152" t="s">
        <v>61</v>
      </c>
      <c r="C53" s="154"/>
      <c r="D53" s="36">
        <f>SUM(D47:D52)</f>
        <v>1321.92</v>
      </c>
      <c r="F53" s="155" t="s">
        <v>72</v>
      </c>
      <c r="G53" s="155"/>
      <c r="H53" s="155"/>
      <c r="I53" s="155"/>
      <c r="J53" s="155"/>
      <c r="K53" s="56">
        <v>0</v>
      </c>
      <c r="L53"/>
      <c r="M53"/>
      <c r="N53"/>
      <c r="O53"/>
    </row>
    <row r="54" spans="2:18" s="1" customFormat="1" x14ac:dyDescent="0.3">
      <c r="B54" s="152"/>
      <c r="C54" s="154"/>
      <c r="D54" s="36"/>
      <c r="F54" s="155" t="s">
        <v>73</v>
      </c>
      <c r="G54" s="155"/>
      <c r="H54" s="155"/>
      <c r="I54" s="155"/>
      <c r="J54" s="155"/>
      <c r="K54" s="56">
        <v>0</v>
      </c>
      <c r="L54"/>
      <c r="M54"/>
      <c r="N54"/>
      <c r="O54"/>
    </row>
    <row r="55" spans="2:18" x14ac:dyDescent="0.3">
      <c r="B55" s="160" t="s">
        <v>62</v>
      </c>
      <c r="C55" s="161"/>
      <c r="D55" s="33"/>
      <c r="F55" s="162" t="s">
        <v>82</v>
      </c>
      <c r="G55" s="162"/>
      <c r="H55" s="162"/>
      <c r="I55" s="162"/>
      <c r="J55" s="162"/>
      <c r="K55" s="36">
        <f>SUM(K52:K54)</f>
        <v>0</v>
      </c>
    </row>
    <row r="56" spans="2:18" x14ac:dyDescent="0.3">
      <c r="B56" s="160" t="s">
        <v>63</v>
      </c>
      <c r="C56" s="161"/>
      <c r="D56" s="33"/>
      <c r="F56" s="152"/>
      <c r="G56" s="153"/>
      <c r="H56" s="153"/>
      <c r="I56" s="153"/>
      <c r="J56" s="154"/>
      <c r="K56" s="36"/>
    </row>
    <row r="57" spans="2:18" x14ac:dyDescent="0.3">
      <c r="B57" s="160" t="s">
        <v>64</v>
      </c>
      <c r="C57" s="161"/>
      <c r="D57" s="33">
        <v>540</v>
      </c>
      <c r="F57" s="152" t="s">
        <v>195</v>
      </c>
      <c r="G57" s="153"/>
      <c r="H57" s="153"/>
      <c r="I57" s="153"/>
      <c r="J57" s="154"/>
      <c r="K57" s="36">
        <f>K50-K55</f>
        <v>393.65</v>
      </c>
    </row>
    <row r="58" spans="2:18" x14ac:dyDescent="0.3">
      <c r="B58" s="160" t="s">
        <v>65</v>
      </c>
      <c r="C58" s="161"/>
      <c r="D58" s="33"/>
    </row>
    <row r="59" spans="2:18" x14ac:dyDescent="0.3">
      <c r="B59" s="160" t="s">
        <v>66</v>
      </c>
      <c r="C59" s="161"/>
      <c r="D59" s="33">
        <v>223.55</v>
      </c>
    </row>
    <row r="60" spans="2:18" x14ac:dyDescent="0.3">
      <c r="B60" s="152" t="s">
        <v>67</v>
      </c>
      <c r="C60" s="154"/>
      <c r="D60" s="36">
        <f>SUM(D55:D59)</f>
        <v>763.55</v>
      </c>
    </row>
    <row r="61" spans="2:18" x14ac:dyDescent="0.3">
      <c r="B61" s="152"/>
      <c r="C61" s="154"/>
      <c r="D61" s="36"/>
    </row>
    <row r="62" spans="2:18" s="1" customFormat="1" x14ac:dyDescent="0.3">
      <c r="B62" s="152" t="s">
        <v>193</v>
      </c>
      <c r="C62" s="154"/>
      <c r="D62" s="36">
        <f>D53-D60</f>
        <v>558.37000000000012</v>
      </c>
    </row>
    <row r="63" spans="2:18" x14ac:dyDescent="0.3"/>
    <row r="64" spans="2:18" x14ac:dyDescent="0.3"/>
    <row r="65" spans="2:10" x14ac:dyDescent="0.3">
      <c r="B65" t="s">
        <v>198</v>
      </c>
      <c r="D65" t="s">
        <v>189</v>
      </c>
      <c r="J65" t="s">
        <v>54</v>
      </c>
    </row>
    <row r="66" spans="2:10" x14ac:dyDescent="0.3"/>
    <row r="67" spans="2:10" x14ac:dyDescent="0.3">
      <c r="B67" t="s">
        <v>199</v>
      </c>
      <c r="D67" t="s">
        <v>190</v>
      </c>
      <c r="J67" t="s">
        <v>54</v>
      </c>
    </row>
    <row r="68" spans="2:10" x14ac:dyDescent="0.3"/>
    <row r="69" spans="2:10" x14ac:dyDescent="0.3"/>
    <row r="70" spans="2:10" x14ac:dyDescent="0.3"/>
    <row r="71" spans="2:10" ht="15" hidden="1" x14ac:dyDescent="0.25"/>
    <row r="72" spans="2:10" ht="15" hidden="1" x14ac:dyDescent="0.25"/>
    <row r="73" spans="2:10" ht="15" hidden="1" x14ac:dyDescent="0.25"/>
    <row r="74" spans="2:10" ht="15" hidden="1" x14ac:dyDescent="0.25"/>
    <row r="75" spans="2:10" ht="15" hidden="1" x14ac:dyDescent="0.25"/>
    <row r="76" spans="2:10" ht="15" hidden="1" x14ac:dyDescent="0.25"/>
    <row r="77" spans="2:10" ht="15" hidden="1" x14ac:dyDescent="0.25"/>
    <row r="78" spans="2:10" ht="15" hidden="1" x14ac:dyDescent="0.25"/>
    <row r="79" spans="2:10" ht="15" hidden="1" x14ac:dyDescent="0.25"/>
    <row r="80" spans="2:1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x14ac:dyDescent="0.3"/>
  </sheetData>
  <mergeCells count="43">
    <mergeCell ref="M49:Q49"/>
    <mergeCell ref="M50:Q50"/>
    <mergeCell ref="M51:Q51"/>
    <mergeCell ref="M52:Q52"/>
    <mergeCell ref="D10:F10"/>
    <mergeCell ref="F50:J50"/>
    <mergeCell ref="F52:J52"/>
    <mergeCell ref="F51:J51"/>
    <mergeCell ref="M10:O10"/>
    <mergeCell ref="P10:R10"/>
    <mergeCell ref="F47:J47"/>
    <mergeCell ref="F48:J48"/>
    <mergeCell ref="F46:J46"/>
    <mergeCell ref="M46:Q46"/>
    <mergeCell ref="M47:Q47"/>
    <mergeCell ref="M48:Q48"/>
    <mergeCell ref="B62:C62"/>
    <mergeCell ref="B46:C46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F56:J56"/>
    <mergeCell ref="F57:J57"/>
    <mergeCell ref="F49:J49"/>
    <mergeCell ref="B10:B11"/>
    <mergeCell ref="C10:C11"/>
    <mergeCell ref="B47:C47"/>
    <mergeCell ref="B48:C48"/>
    <mergeCell ref="B49:C49"/>
    <mergeCell ref="F55:J55"/>
    <mergeCell ref="G10:I10"/>
    <mergeCell ref="J10:L10"/>
    <mergeCell ref="F53:J53"/>
    <mergeCell ref="F54:J54"/>
  </mergeCells>
  <pageMargins left="0.70866141732283472" right="0.70866141732283472" top="0.78740157480314965" bottom="0.78740157480314965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49"/>
  <sheetViews>
    <sheetView workbookViewId="0">
      <selection activeCell="D46" sqref="D46"/>
    </sheetView>
  </sheetViews>
  <sheetFormatPr defaultColWidth="0" defaultRowHeight="14.4" zeroHeight="1" x14ac:dyDescent="0.3"/>
  <cols>
    <col min="1" max="1" width="3.5546875" customWidth="1"/>
    <col min="2" max="3" width="9.109375" customWidth="1"/>
    <col min="4" max="4" width="22" customWidth="1"/>
    <col min="5" max="5" width="15.33203125" customWidth="1"/>
    <col min="6" max="6" width="16.44140625" customWidth="1"/>
    <col min="7" max="7" width="9.109375" customWidth="1"/>
    <col min="8" max="8" width="9.109375" hidden="1" customWidth="1"/>
    <col min="9" max="16384" width="9.109375" hidden="1"/>
  </cols>
  <sheetData>
    <row r="1" spans="2:6" ht="15" x14ac:dyDescent="0.25"/>
    <row r="2" spans="2:6" ht="21" x14ac:dyDescent="0.4">
      <c r="B2" s="3" t="s">
        <v>134</v>
      </c>
    </row>
    <row r="3" spans="2:6" ht="15" x14ac:dyDescent="0.25"/>
    <row r="4" spans="2:6" x14ac:dyDescent="0.3">
      <c r="B4" t="s">
        <v>84</v>
      </c>
      <c r="D4" t="s">
        <v>166</v>
      </c>
    </row>
    <row r="5" spans="2:6" x14ac:dyDescent="0.3">
      <c r="B5" t="s">
        <v>85</v>
      </c>
      <c r="D5">
        <v>46789944</v>
      </c>
    </row>
    <row r="6" spans="2:6" x14ac:dyDescent="0.3">
      <c r="B6" t="s">
        <v>86</v>
      </c>
      <c r="D6" t="s">
        <v>178</v>
      </c>
    </row>
    <row r="7" spans="2:6" ht="15" x14ac:dyDescent="0.25"/>
    <row r="8" spans="2:6" x14ac:dyDescent="0.3">
      <c r="B8" s="1" t="s">
        <v>135</v>
      </c>
    </row>
    <row r="9" spans="2:6" ht="15.75" thickBot="1" x14ac:dyDescent="0.3"/>
    <row r="10" spans="2:6" ht="15" thickBot="1" x14ac:dyDescent="0.35">
      <c r="B10" s="183" t="s">
        <v>132</v>
      </c>
      <c r="C10" s="184"/>
      <c r="D10" s="184"/>
      <c r="E10" s="59" t="s">
        <v>128</v>
      </c>
      <c r="F10" s="60" t="s">
        <v>129</v>
      </c>
    </row>
    <row r="11" spans="2:6" x14ac:dyDescent="0.3">
      <c r="B11" s="178" t="s">
        <v>179</v>
      </c>
      <c r="C11" s="179"/>
      <c r="D11" s="180"/>
      <c r="E11" s="61" t="s">
        <v>180</v>
      </c>
      <c r="F11" s="62">
        <v>60</v>
      </c>
    </row>
    <row r="12" spans="2:6" x14ac:dyDescent="0.3">
      <c r="B12" s="175" t="s">
        <v>181</v>
      </c>
      <c r="C12" s="176"/>
      <c r="D12" s="177"/>
      <c r="E12" s="63" t="s">
        <v>180</v>
      </c>
      <c r="F12" s="64">
        <v>450</v>
      </c>
    </row>
    <row r="13" spans="2:6" ht="15" x14ac:dyDescent="0.25">
      <c r="B13" s="175"/>
      <c r="C13" s="176"/>
      <c r="D13" s="177"/>
      <c r="E13" s="63"/>
      <c r="F13" s="64"/>
    </row>
    <row r="14" spans="2:6" ht="15" x14ac:dyDescent="0.25">
      <c r="B14" s="175"/>
      <c r="C14" s="176"/>
      <c r="D14" s="177"/>
      <c r="E14" s="63"/>
      <c r="F14" s="64"/>
    </row>
    <row r="15" spans="2:6" ht="15" x14ac:dyDescent="0.25">
      <c r="B15" s="175"/>
      <c r="C15" s="176"/>
      <c r="D15" s="177"/>
      <c r="E15" s="63"/>
      <c r="F15" s="64"/>
    </row>
    <row r="16" spans="2:6" ht="15" x14ac:dyDescent="0.25">
      <c r="B16" s="175"/>
      <c r="C16" s="176"/>
      <c r="D16" s="177"/>
      <c r="E16" s="63"/>
      <c r="F16" s="64"/>
    </row>
    <row r="17" spans="2:6" ht="15" x14ac:dyDescent="0.25">
      <c r="B17" s="175"/>
      <c r="C17" s="176"/>
      <c r="D17" s="177"/>
      <c r="E17" s="63"/>
      <c r="F17" s="64"/>
    </row>
    <row r="18" spans="2:6" ht="15" x14ac:dyDescent="0.25">
      <c r="B18" s="175"/>
      <c r="C18" s="176"/>
      <c r="D18" s="177"/>
      <c r="E18" s="63"/>
      <c r="F18" s="64"/>
    </row>
    <row r="19" spans="2:6" ht="15.75" thickBot="1" x14ac:dyDescent="0.3">
      <c r="B19" s="169"/>
      <c r="C19" s="170"/>
      <c r="D19" s="171"/>
      <c r="E19" s="65"/>
      <c r="F19" s="66"/>
    </row>
    <row r="20" spans="2:6" ht="15.75" thickBot="1" x14ac:dyDescent="0.3">
      <c r="B20" s="172" t="s">
        <v>44</v>
      </c>
      <c r="C20" s="173"/>
      <c r="D20" s="174"/>
      <c r="E20" s="67"/>
      <c r="F20" s="68">
        <f>SUM(F11:F19)</f>
        <v>510</v>
      </c>
    </row>
    <row r="21" spans="2:6" ht="15" x14ac:dyDescent="0.25">
      <c r="B21" s="69"/>
      <c r="C21" s="69"/>
      <c r="D21" s="69"/>
      <c r="E21" s="69"/>
      <c r="F21" s="70"/>
    </row>
    <row r="22" spans="2:6" ht="15" x14ac:dyDescent="0.25">
      <c r="B22" s="69"/>
      <c r="C22" s="69"/>
      <c r="D22" s="69"/>
      <c r="E22" s="69"/>
      <c r="F22" s="70"/>
    </row>
    <row r="23" spans="2:6" x14ac:dyDescent="0.3">
      <c r="B23" s="74" t="s">
        <v>136</v>
      </c>
      <c r="C23" s="69"/>
      <c r="D23" s="69"/>
      <c r="E23" s="69"/>
      <c r="F23" s="70"/>
    </row>
    <row r="24" spans="2:6" ht="15.75" thickBot="1" x14ac:dyDescent="0.3">
      <c r="B24" s="69"/>
      <c r="C24" s="69"/>
      <c r="D24" s="69"/>
      <c r="E24" s="69"/>
      <c r="F24" s="70"/>
    </row>
    <row r="25" spans="2:6" ht="15" thickBot="1" x14ac:dyDescent="0.35">
      <c r="B25" s="181" t="s">
        <v>133</v>
      </c>
      <c r="C25" s="182"/>
      <c r="D25" s="182"/>
      <c r="E25" s="59" t="s">
        <v>128</v>
      </c>
      <c r="F25" s="71" t="s">
        <v>129</v>
      </c>
    </row>
    <row r="26" spans="2:6" x14ac:dyDescent="0.3">
      <c r="B26" s="178" t="s">
        <v>182</v>
      </c>
      <c r="C26" s="179"/>
      <c r="D26" s="180"/>
      <c r="E26" s="61" t="s">
        <v>180</v>
      </c>
      <c r="F26" s="72">
        <v>1500</v>
      </c>
    </row>
    <row r="27" spans="2:6" ht="15" x14ac:dyDescent="0.25">
      <c r="B27" s="175"/>
      <c r="C27" s="176"/>
      <c r="D27" s="177"/>
      <c r="E27" s="63"/>
      <c r="F27" s="72"/>
    </row>
    <row r="28" spans="2:6" ht="15" x14ac:dyDescent="0.25">
      <c r="B28" s="175"/>
      <c r="C28" s="176"/>
      <c r="D28" s="177"/>
      <c r="E28" s="63"/>
      <c r="F28" s="72"/>
    </row>
    <row r="29" spans="2:6" ht="15.75" thickBot="1" x14ac:dyDescent="0.3">
      <c r="B29" s="169"/>
      <c r="C29" s="170"/>
      <c r="D29" s="171"/>
      <c r="E29" s="65"/>
      <c r="F29" s="73"/>
    </row>
    <row r="30" spans="2:6" s="82" customFormat="1" ht="15" x14ac:dyDescent="0.25">
      <c r="B30" s="75"/>
      <c r="C30" s="75"/>
      <c r="D30" s="75"/>
      <c r="E30" s="80"/>
      <c r="F30" s="81"/>
    </row>
    <row r="31" spans="2:6" s="82" customFormat="1" ht="15" x14ac:dyDescent="0.25">
      <c r="B31" s="75"/>
      <c r="C31" s="75"/>
      <c r="D31" s="75"/>
      <c r="E31" s="80"/>
      <c r="F31" s="81"/>
    </row>
    <row r="32" spans="2:6" s="82" customFormat="1" x14ac:dyDescent="0.3">
      <c r="B32" s="83" t="s">
        <v>131</v>
      </c>
      <c r="C32" s="75"/>
      <c r="D32" s="75"/>
      <c r="E32" s="80"/>
      <c r="F32" s="81"/>
    </row>
    <row r="33" spans="2:10" s="82" customFormat="1" ht="15" x14ac:dyDescent="0.25">
      <c r="B33" s="75"/>
      <c r="C33" s="75"/>
      <c r="D33" s="75"/>
      <c r="E33" s="80"/>
      <c r="F33" s="81"/>
    </row>
    <row r="34" spans="2:10" ht="15" thickBot="1" x14ac:dyDescent="0.35">
      <c r="B34" s="76" t="s">
        <v>130</v>
      </c>
      <c r="C34" s="77"/>
      <c r="D34" s="77"/>
      <c r="E34" s="78" t="s">
        <v>128</v>
      </c>
      <c r="F34" s="79" t="s">
        <v>129</v>
      </c>
    </row>
    <row r="35" spans="2:10" x14ac:dyDescent="0.3">
      <c r="B35" s="178" t="s">
        <v>183</v>
      </c>
      <c r="C35" s="179"/>
      <c r="D35" s="180"/>
      <c r="E35" s="61" t="s">
        <v>180</v>
      </c>
      <c r="F35" s="72">
        <v>2000</v>
      </c>
    </row>
    <row r="36" spans="2:10" x14ac:dyDescent="0.3">
      <c r="B36" s="175" t="s">
        <v>184</v>
      </c>
      <c r="C36" s="176"/>
      <c r="D36" s="177"/>
      <c r="E36" s="63" t="s">
        <v>180</v>
      </c>
      <c r="F36" s="72">
        <v>700</v>
      </c>
    </row>
    <row r="37" spans="2:10" ht="15" x14ac:dyDescent="0.25">
      <c r="B37" s="175"/>
      <c r="C37" s="176"/>
      <c r="D37" s="177"/>
      <c r="E37" s="63"/>
      <c r="F37" s="72"/>
    </row>
    <row r="38" spans="2:10" ht="15" thickBot="1" x14ac:dyDescent="0.35">
      <c r="B38" s="169"/>
      <c r="C38" s="170"/>
      <c r="D38" s="171"/>
      <c r="E38" s="65"/>
      <c r="F38" s="73"/>
    </row>
    <row r="39" spans="2:10" x14ac:dyDescent="0.3"/>
    <row r="40" spans="2:10" x14ac:dyDescent="0.3"/>
    <row r="41" spans="2:10" x14ac:dyDescent="0.3">
      <c r="B41" t="s">
        <v>52</v>
      </c>
      <c r="D41" s="53">
        <v>42972</v>
      </c>
      <c r="E41" t="s">
        <v>185</v>
      </c>
      <c r="J41" t="s">
        <v>54</v>
      </c>
    </row>
    <row r="42" spans="2:10" x14ac:dyDescent="0.3">
      <c r="E42" t="s">
        <v>187</v>
      </c>
    </row>
    <row r="43" spans="2:10" x14ac:dyDescent="0.3">
      <c r="F43" t="s">
        <v>137</v>
      </c>
      <c r="J43" t="s">
        <v>54</v>
      </c>
    </row>
    <row r="44" spans="2:10" x14ac:dyDescent="0.3"/>
    <row r="45" spans="2:10" x14ac:dyDescent="0.3">
      <c r="B45" t="s">
        <v>53</v>
      </c>
      <c r="D45" s="53">
        <v>42972</v>
      </c>
      <c r="E45" t="s">
        <v>186</v>
      </c>
    </row>
    <row r="46" spans="2:10" x14ac:dyDescent="0.3">
      <c r="E46" t="s">
        <v>188</v>
      </c>
    </row>
    <row r="47" spans="2:10" x14ac:dyDescent="0.3">
      <c r="F47" t="s">
        <v>137</v>
      </c>
    </row>
    <row r="48" spans="2:10" x14ac:dyDescent="0.3"/>
    <row r="49" x14ac:dyDescent="0.3"/>
  </sheetData>
  <mergeCells count="20">
    <mergeCell ref="B15:D15"/>
    <mergeCell ref="B10:D10"/>
    <mergeCell ref="B11:D11"/>
    <mergeCell ref="B12:D12"/>
    <mergeCell ref="B13:D13"/>
    <mergeCell ref="B14:D14"/>
    <mergeCell ref="B16:D16"/>
    <mergeCell ref="B17:D17"/>
    <mergeCell ref="B18:D18"/>
    <mergeCell ref="B19:D19"/>
    <mergeCell ref="B25:D25"/>
    <mergeCell ref="B38:D38"/>
    <mergeCell ref="B20:D20"/>
    <mergeCell ref="B27:D27"/>
    <mergeCell ref="B28:D28"/>
    <mergeCell ref="B29:D29"/>
    <mergeCell ref="B35:D35"/>
    <mergeCell ref="B36:D36"/>
    <mergeCell ref="B37:D37"/>
    <mergeCell ref="B26:D26"/>
  </mergeCells>
  <conditionalFormatting sqref="E11:E19">
    <cfRule type="cellIs" dxfId="29" priority="25" stopIfTrue="1" operator="equal">
      <formula>"C"</formula>
    </cfRule>
    <cfRule type="cellIs" dxfId="28" priority="26" stopIfTrue="1" operator="equal">
      <formula>"B"</formula>
    </cfRule>
    <cfRule type="cellIs" dxfId="27" priority="27" stopIfTrue="1" operator="equal">
      <formula>"A"</formula>
    </cfRule>
  </conditionalFormatting>
  <conditionalFormatting sqref="E35:E38">
    <cfRule type="cellIs" dxfId="26" priority="22" stopIfTrue="1" operator="equal">
      <formula>"C"</formula>
    </cfRule>
    <cfRule type="cellIs" dxfId="25" priority="23" stopIfTrue="1" operator="equal">
      <formula>"B"</formula>
    </cfRule>
    <cfRule type="cellIs" dxfId="24" priority="24" stopIfTrue="1" operator="equal">
      <formula>"A"</formula>
    </cfRule>
  </conditionalFormatting>
  <conditionalFormatting sqref="E26:E33">
    <cfRule type="cellIs" dxfId="23" priority="19" stopIfTrue="1" operator="equal">
      <formula>"C"</formula>
    </cfRule>
    <cfRule type="cellIs" dxfId="22" priority="20" stopIfTrue="1" operator="equal">
      <formula>"B"</formula>
    </cfRule>
    <cfRule type="cellIs" dxfId="21" priority="21" stopIfTrue="1" operator="equal">
      <formula>"A"</formula>
    </cfRule>
  </conditionalFormatting>
  <conditionalFormatting sqref="E14:E18">
    <cfRule type="cellIs" dxfId="20" priority="16" stopIfTrue="1" operator="equal">
      <formula>"C"</formula>
    </cfRule>
    <cfRule type="cellIs" dxfId="19" priority="17" stopIfTrue="1" operator="equal">
      <formula>"B"</formula>
    </cfRule>
    <cfRule type="cellIs" dxfId="18" priority="18" stopIfTrue="1" operator="equal">
      <formula>"A"</formula>
    </cfRule>
  </conditionalFormatting>
  <conditionalFormatting sqref="E14:E18">
    <cfRule type="cellIs" dxfId="17" priority="13" stopIfTrue="1" operator="equal">
      <formula>"C"</formula>
    </cfRule>
    <cfRule type="cellIs" dxfId="16" priority="14" stopIfTrue="1" operator="equal">
      <formula>"B"</formula>
    </cfRule>
    <cfRule type="cellIs" dxfId="15" priority="15" stopIfTrue="1" operator="equal">
      <formula>"A"</formula>
    </cfRule>
  </conditionalFormatting>
  <conditionalFormatting sqref="E26">
    <cfRule type="cellIs" dxfId="14" priority="10" stopIfTrue="1" operator="equal">
      <formula>"C"</formula>
    </cfRule>
    <cfRule type="cellIs" dxfId="13" priority="11" stopIfTrue="1" operator="equal">
      <formula>"B"</formula>
    </cfRule>
    <cfRule type="cellIs" dxfId="12" priority="12" stopIfTrue="1" operator="equal">
      <formula>"A"</formula>
    </cfRule>
  </conditionalFormatting>
  <conditionalFormatting sqref="E26">
    <cfRule type="cellIs" dxfId="11" priority="7" stopIfTrue="1" operator="equal">
      <formula>"C"</formula>
    </cfRule>
    <cfRule type="cellIs" dxfId="10" priority="8" stopIfTrue="1" operator="equal">
      <formula>"B"</formula>
    </cfRule>
    <cfRule type="cellIs" dxfId="9" priority="9" stopIfTrue="1" operator="equal">
      <formula>"A"</formula>
    </cfRule>
  </conditionalFormatting>
  <conditionalFormatting sqref="E35:E37">
    <cfRule type="cellIs" dxfId="8" priority="4" stopIfTrue="1" operator="equal">
      <formula>"C"</formula>
    </cfRule>
    <cfRule type="cellIs" dxfId="7" priority="5" stopIfTrue="1" operator="equal">
      <formula>"B"</formula>
    </cfRule>
    <cfRule type="cellIs" dxfId="6" priority="6" stopIfTrue="1" operator="equal">
      <formula>"A"</formula>
    </cfRule>
  </conditionalFormatting>
  <conditionalFormatting sqref="E35:E37">
    <cfRule type="cellIs" dxfId="5" priority="1" stopIfTrue="1" operator="equal">
      <formula>"C"</formula>
    </cfRule>
    <cfRule type="cellIs" dxfId="4" priority="2" stopIfTrue="1" operator="equal">
      <formula>"B"</formula>
    </cfRule>
    <cfRule type="cellIs" dxfId="3" priority="3" stopIfTrue="1" operator="equal">
      <formula>"A"</formula>
    </cfRule>
  </conditionalFormatting>
  <dataValidations count="1">
    <dataValidation type="whole" allowBlank="1" showInputMessage="1" showErrorMessage="1" errorTitle="Chybové hlášení" error="Hodnota není vyplněna nebo vyplněna nesprávná hodnota" sqref="F11:F19 F26:F38">
      <formula1>0</formula1>
      <formula2>99999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O123"/>
  <sheetViews>
    <sheetView zoomScale="75" zoomScaleNormal="75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AG24" sqref="AG24"/>
    </sheetView>
  </sheetViews>
  <sheetFormatPr defaultColWidth="0" defaultRowHeight="13.2" zeroHeight="1" x14ac:dyDescent="0.25"/>
  <cols>
    <col min="1" max="1" width="1.5546875" style="84" customWidth="1"/>
    <col min="2" max="2" width="56" style="84" customWidth="1"/>
    <col min="3" max="3" width="12" style="85" customWidth="1"/>
    <col min="4" max="13" width="10.6640625" style="84" customWidth="1"/>
    <col min="14" max="14" width="3.88671875" style="84" customWidth="1"/>
    <col min="15" max="15" width="12.5546875" style="84" customWidth="1"/>
    <col min="16" max="24" width="10.6640625" style="84" customWidth="1"/>
    <col min="25" max="25" width="3.44140625" style="84" customWidth="1"/>
    <col min="26" max="26" width="12.44140625" style="84" customWidth="1"/>
    <col min="27" max="35" width="10.6640625" style="84" customWidth="1"/>
    <col min="36" max="36" width="3.6640625" style="84" customWidth="1"/>
    <col min="37" max="37" width="15.33203125" style="86" customWidth="1"/>
    <col min="38" max="38" width="15" style="86" customWidth="1"/>
    <col min="39" max="39" width="2.109375" style="84" customWidth="1"/>
    <col min="40" max="41" width="0" style="84" hidden="1" customWidth="1"/>
    <col min="42" max="16384" width="9.109375" style="84" hidden="1"/>
  </cols>
  <sheetData>
    <row r="1" spans="1:38" ht="33" x14ac:dyDescent="0.6">
      <c r="A1" s="195" t="s">
        <v>191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</row>
    <row r="2" spans="1:38" ht="12.75" x14ac:dyDescent="0.2"/>
    <row r="3" spans="1:38" s="87" customFormat="1" ht="22.8" x14ac:dyDescent="0.4">
      <c r="A3" s="196" t="s">
        <v>138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O3" s="196" t="s">
        <v>139</v>
      </c>
      <c r="P3" s="196"/>
      <c r="Q3" s="196"/>
      <c r="R3" s="196"/>
      <c r="S3" s="196"/>
      <c r="T3" s="196"/>
      <c r="U3" s="196"/>
      <c r="V3" s="196"/>
      <c r="W3" s="196"/>
      <c r="X3" s="196"/>
      <c r="Z3" s="196" t="s">
        <v>140</v>
      </c>
      <c r="AA3" s="196"/>
      <c r="AB3" s="196"/>
      <c r="AC3" s="196"/>
      <c r="AD3" s="196"/>
      <c r="AE3" s="196"/>
      <c r="AF3" s="196"/>
      <c r="AG3" s="196"/>
      <c r="AH3" s="196"/>
      <c r="AI3" s="196"/>
      <c r="AK3" s="197" t="s">
        <v>141</v>
      </c>
      <c r="AL3" s="197"/>
    </row>
    <row r="4" spans="1:38" ht="15" customHeight="1" x14ac:dyDescent="0.25">
      <c r="A4" s="198" t="s">
        <v>42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O4" s="199" t="s">
        <v>42</v>
      </c>
      <c r="P4" s="199"/>
      <c r="Q4" s="199"/>
      <c r="R4" s="199"/>
      <c r="S4" s="199"/>
      <c r="T4" s="199"/>
      <c r="U4" s="199"/>
      <c r="V4" s="199"/>
      <c r="W4" s="199"/>
      <c r="X4" s="199"/>
      <c r="Z4" s="199" t="s">
        <v>42</v>
      </c>
      <c r="AA4" s="199"/>
      <c r="AB4" s="199"/>
      <c r="AC4" s="199"/>
      <c r="AD4" s="199"/>
      <c r="AE4" s="199"/>
      <c r="AF4" s="199"/>
      <c r="AG4" s="199"/>
      <c r="AH4" s="199"/>
      <c r="AI4" s="199"/>
      <c r="AK4" s="88"/>
      <c r="AL4" s="88"/>
    </row>
    <row r="5" spans="1:38" ht="15" customHeight="1" x14ac:dyDescent="0.25">
      <c r="A5" s="89"/>
      <c r="B5" s="89"/>
      <c r="C5" s="89"/>
      <c r="D5" s="200" t="s">
        <v>142</v>
      </c>
      <c r="E5" s="200"/>
      <c r="F5" s="200"/>
      <c r="G5" s="200"/>
      <c r="H5" s="200"/>
      <c r="I5" s="151"/>
      <c r="J5" s="151"/>
      <c r="K5" s="151"/>
      <c r="L5" s="151"/>
      <c r="M5" s="89"/>
      <c r="O5" s="89"/>
      <c r="P5" s="89"/>
      <c r="Q5" s="150"/>
      <c r="R5" s="150"/>
      <c r="S5" s="150"/>
      <c r="T5" s="150"/>
      <c r="U5" s="150"/>
      <c r="V5" s="150"/>
      <c r="W5" s="150"/>
      <c r="X5" s="89"/>
      <c r="Z5" s="89"/>
      <c r="AA5" s="150"/>
      <c r="AB5" s="150"/>
      <c r="AC5" s="150"/>
      <c r="AD5" s="150"/>
      <c r="AE5" s="150"/>
      <c r="AF5" s="89"/>
      <c r="AG5" s="89"/>
      <c r="AH5" s="89"/>
      <c r="AI5" s="89"/>
      <c r="AK5" s="88"/>
      <c r="AL5" s="88"/>
    </row>
    <row r="6" spans="1:38" ht="76.2" x14ac:dyDescent="0.25">
      <c r="A6" s="192" t="s">
        <v>143</v>
      </c>
      <c r="B6" s="193"/>
      <c r="C6" s="90" t="s">
        <v>144</v>
      </c>
      <c r="D6" s="91" t="s">
        <v>168</v>
      </c>
      <c r="E6" s="91" t="s">
        <v>169</v>
      </c>
      <c r="F6" s="91" t="s">
        <v>170</v>
      </c>
      <c r="G6" s="91" t="s">
        <v>171</v>
      </c>
      <c r="H6" s="91" t="s">
        <v>173</v>
      </c>
      <c r="I6" s="91" t="s">
        <v>172</v>
      </c>
      <c r="J6" s="91" t="s">
        <v>174</v>
      </c>
      <c r="K6" s="91" t="s">
        <v>175</v>
      </c>
      <c r="L6" s="91" t="s">
        <v>176</v>
      </c>
      <c r="M6" s="91" t="s">
        <v>177</v>
      </c>
      <c r="O6" s="90" t="s">
        <v>139</v>
      </c>
      <c r="P6" s="91" t="s">
        <v>168</v>
      </c>
      <c r="Q6" s="91" t="s">
        <v>169</v>
      </c>
      <c r="R6" s="91" t="s">
        <v>170</v>
      </c>
      <c r="S6" s="91" t="s">
        <v>171</v>
      </c>
      <c r="T6" s="91" t="s">
        <v>173</v>
      </c>
      <c r="U6" s="91" t="s">
        <v>172</v>
      </c>
      <c r="V6" s="91" t="s">
        <v>174</v>
      </c>
      <c r="W6" s="91" t="s">
        <v>175</v>
      </c>
      <c r="X6" s="91" t="s">
        <v>177</v>
      </c>
      <c r="Z6" s="90" t="s">
        <v>140</v>
      </c>
      <c r="AA6" s="91" t="s">
        <v>168</v>
      </c>
      <c r="AB6" s="91" t="s">
        <v>169</v>
      </c>
      <c r="AC6" s="91" t="s">
        <v>170</v>
      </c>
      <c r="AD6" s="91" t="s">
        <v>171</v>
      </c>
      <c r="AE6" s="91" t="s">
        <v>173</v>
      </c>
      <c r="AF6" s="91" t="s">
        <v>172</v>
      </c>
      <c r="AG6" s="91" t="s">
        <v>174</v>
      </c>
      <c r="AH6" s="91" t="s">
        <v>175</v>
      </c>
      <c r="AI6" s="91" t="s">
        <v>177</v>
      </c>
      <c r="AK6" s="92" t="s">
        <v>145</v>
      </c>
      <c r="AL6" s="93" t="s">
        <v>146</v>
      </c>
    </row>
    <row r="7" spans="1:38" s="95" customFormat="1" ht="15.6" x14ac:dyDescent="0.3">
      <c r="A7" s="185" t="s">
        <v>147</v>
      </c>
      <c r="B7" s="185"/>
      <c r="C7" s="94">
        <f>SUM(C8:C13)</f>
        <v>56048.810000000005</v>
      </c>
      <c r="D7" s="94">
        <f>D8+SUM(D10:D13)</f>
        <v>36666.660000000003</v>
      </c>
      <c r="E7" s="94">
        <f t="shared" ref="E7:F7" si="0">E8+SUM(E10:E13)</f>
        <v>6344.06</v>
      </c>
      <c r="F7" s="94">
        <f t="shared" si="0"/>
        <v>9492.9000000000015</v>
      </c>
      <c r="G7" s="94">
        <f>G8+SUM(G10:G13)</f>
        <v>253.25</v>
      </c>
      <c r="H7" s="94">
        <f>H8+SUM(H10:H13)</f>
        <v>471.09000000000003</v>
      </c>
      <c r="I7" s="94">
        <f t="shared" ref="I7:L7" si="1">I8+SUM(I10:I13)</f>
        <v>112.87</v>
      </c>
      <c r="J7" s="94">
        <f t="shared" si="1"/>
        <v>2530.6800000000003</v>
      </c>
      <c r="K7" s="94">
        <f t="shared" si="1"/>
        <v>7.16</v>
      </c>
      <c r="L7" s="94">
        <f t="shared" si="1"/>
        <v>0</v>
      </c>
      <c r="M7" s="94">
        <f>M8+SUM(M10:M13)</f>
        <v>170.14</v>
      </c>
      <c r="O7" s="94">
        <f>SUM(O8:O13)</f>
        <v>61380</v>
      </c>
      <c r="P7" s="94">
        <f>P8+SUM(P10:P13)</f>
        <v>39600</v>
      </c>
      <c r="Q7" s="94">
        <f t="shared" ref="Q7:X7" si="2">Q8+SUM(Q10:Q13)</f>
        <v>7732</v>
      </c>
      <c r="R7" s="94">
        <f t="shared" si="2"/>
        <v>10461</v>
      </c>
      <c r="S7" s="94">
        <f t="shared" si="2"/>
        <v>343</v>
      </c>
      <c r="T7" s="94">
        <f t="shared" si="2"/>
        <v>511</v>
      </c>
      <c r="U7" s="94">
        <f t="shared" si="2"/>
        <v>146</v>
      </c>
      <c r="V7" s="94">
        <f t="shared" si="2"/>
        <v>2393</v>
      </c>
      <c r="W7" s="94">
        <f t="shared" si="2"/>
        <v>28</v>
      </c>
      <c r="X7" s="94">
        <f t="shared" si="2"/>
        <v>166</v>
      </c>
      <c r="Z7" s="94">
        <f>SUM(Z8:Z13)</f>
        <v>84817</v>
      </c>
      <c r="AA7" s="94">
        <f t="shared" ref="AA7:AE7" si="3">AA8+SUM(AA10:AA13)</f>
        <v>52825</v>
      </c>
      <c r="AB7" s="94">
        <f t="shared" si="3"/>
        <v>11105</v>
      </c>
      <c r="AC7" s="94">
        <f t="shared" si="3"/>
        <v>13201</v>
      </c>
      <c r="AD7" s="94">
        <f t="shared" si="3"/>
        <v>605</v>
      </c>
      <c r="AE7" s="94">
        <f t="shared" si="3"/>
        <v>811</v>
      </c>
      <c r="AF7" s="94">
        <f>AF8+SUM(AF10:AF13)</f>
        <v>368</v>
      </c>
      <c r="AG7" s="94">
        <f t="shared" ref="AG7:AI7" si="4">AG8+SUM(AG10:AG13)</f>
        <v>2765</v>
      </c>
      <c r="AH7" s="94">
        <f t="shared" si="4"/>
        <v>2967</v>
      </c>
      <c r="AI7" s="94">
        <f t="shared" si="4"/>
        <v>170</v>
      </c>
      <c r="AK7" s="96">
        <f t="shared" ref="AK7:AK23" si="5">O7/C7</f>
        <v>1.0951169168444432</v>
      </c>
      <c r="AL7" s="96">
        <f t="shared" ref="AL7:AL23" si="6">Z7/O7</f>
        <v>1.3818344737699577</v>
      </c>
    </row>
    <row r="8" spans="1:38" s="102" customFormat="1" ht="14.4" x14ac:dyDescent="0.3">
      <c r="A8" s="97" t="s">
        <v>148</v>
      </c>
      <c r="B8" s="98" t="s">
        <v>121</v>
      </c>
      <c r="C8" s="99">
        <f>SUM(D8:M8)</f>
        <v>42623.16</v>
      </c>
      <c r="D8" s="100">
        <v>28205.93</v>
      </c>
      <c r="E8" s="100">
        <f>3485.87+2093.06</f>
        <v>5578.93</v>
      </c>
      <c r="F8" s="100">
        <v>6889.97</v>
      </c>
      <c r="G8" s="100">
        <v>247.54</v>
      </c>
      <c r="H8" s="100">
        <v>462.36</v>
      </c>
      <c r="I8" s="100">
        <v>101.73</v>
      </c>
      <c r="J8" s="100">
        <v>1085.03</v>
      </c>
      <c r="K8" s="100">
        <v>3.63</v>
      </c>
      <c r="L8" s="100"/>
      <c r="M8" s="101">
        <v>48.04</v>
      </c>
      <c r="O8" s="99">
        <f>SUM(P8:X8)</f>
        <v>45000</v>
      </c>
      <c r="P8" s="100">
        <v>29500</v>
      </c>
      <c r="Q8" s="100">
        <v>6200</v>
      </c>
      <c r="R8" s="100">
        <v>7300</v>
      </c>
      <c r="S8" s="100">
        <v>200</v>
      </c>
      <c r="T8" s="100">
        <v>510</v>
      </c>
      <c r="U8" s="100">
        <v>140</v>
      </c>
      <c r="V8" s="100">
        <v>1100</v>
      </c>
      <c r="W8" s="100"/>
      <c r="X8" s="100">
        <v>50</v>
      </c>
      <c r="Z8" s="99">
        <f>SUM(AA8:AI8)</f>
        <v>48267</v>
      </c>
      <c r="AA8" s="100">
        <v>30000</v>
      </c>
      <c r="AB8" s="100">
        <v>8100</v>
      </c>
      <c r="AC8" s="100">
        <v>7800</v>
      </c>
      <c r="AD8" s="100">
        <v>315</v>
      </c>
      <c r="AE8" s="100">
        <v>810</v>
      </c>
      <c r="AF8" s="100">
        <v>90</v>
      </c>
      <c r="AG8" s="100">
        <v>1100</v>
      </c>
      <c r="AH8" s="100">
        <v>2</v>
      </c>
      <c r="AI8" s="100">
        <v>50</v>
      </c>
      <c r="AK8" s="103">
        <f t="shared" si="5"/>
        <v>1.0557640494041267</v>
      </c>
      <c r="AL8" s="103">
        <f t="shared" si="6"/>
        <v>1.0726</v>
      </c>
    </row>
    <row r="9" spans="1:38" s="108" customFormat="1" ht="14.4" x14ac:dyDescent="0.3">
      <c r="A9" s="104" t="s">
        <v>149</v>
      </c>
      <c r="B9" s="105" t="s">
        <v>125</v>
      </c>
      <c r="C9" s="99">
        <f t="shared" ref="C9:C13" si="7">SUM(D9:M9)</f>
        <v>0</v>
      </c>
      <c r="D9" s="106">
        <v>0</v>
      </c>
      <c r="E9" s="106"/>
      <c r="F9" s="106">
        <v>0</v>
      </c>
      <c r="G9" s="106"/>
      <c r="H9" s="106"/>
      <c r="I9" s="106"/>
      <c r="J9" s="106"/>
      <c r="K9" s="106"/>
      <c r="L9" s="106"/>
      <c r="M9" s="107">
        <v>0</v>
      </c>
      <c r="O9" s="99">
        <f t="shared" ref="O9:O13" si="8">SUM(P9:X9)</f>
        <v>0</v>
      </c>
      <c r="P9" s="106"/>
      <c r="Q9" s="106"/>
      <c r="R9" s="106"/>
      <c r="S9" s="106"/>
      <c r="T9" s="106"/>
      <c r="U9" s="106"/>
      <c r="V9" s="106"/>
      <c r="W9" s="106"/>
      <c r="X9" s="106"/>
      <c r="Z9" s="99">
        <f t="shared" ref="Z9:Z13" si="9">SUM(AA9:AI9)</f>
        <v>0</v>
      </c>
      <c r="AA9" s="106"/>
      <c r="AB9" s="106"/>
      <c r="AC9" s="106"/>
      <c r="AD9" s="106"/>
      <c r="AE9" s="106"/>
      <c r="AF9" s="106"/>
      <c r="AG9" s="106"/>
      <c r="AH9" s="106"/>
      <c r="AI9" s="106"/>
      <c r="AK9" s="109" t="e">
        <f t="shared" si="5"/>
        <v>#DIV/0!</v>
      </c>
      <c r="AL9" s="109" t="e">
        <f t="shared" si="6"/>
        <v>#DIV/0!</v>
      </c>
    </row>
    <row r="10" spans="1:38" s="113" customFormat="1" ht="16.5" customHeight="1" x14ac:dyDescent="0.3">
      <c r="A10" s="110" t="s">
        <v>150</v>
      </c>
      <c r="B10" s="105" t="s">
        <v>126</v>
      </c>
      <c r="C10" s="99">
        <f t="shared" si="7"/>
        <v>12391.390000000001</v>
      </c>
      <c r="D10" s="111">
        <f>923.83+6946.13</f>
        <v>7869.96</v>
      </c>
      <c r="E10" s="111">
        <f>154.57+557</f>
        <v>711.56999999999994</v>
      </c>
      <c r="F10" s="111">
        <f>264.86+2100+35</f>
        <v>2399.86</v>
      </c>
      <c r="G10" s="111"/>
      <c r="H10" s="111"/>
      <c r="I10" s="111"/>
      <c r="J10" s="111">
        <v>1400</v>
      </c>
      <c r="K10" s="111"/>
      <c r="L10" s="111"/>
      <c r="M10" s="112">
        <v>10</v>
      </c>
      <c r="O10" s="99">
        <f t="shared" si="8"/>
        <v>15109</v>
      </c>
      <c r="P10" s="111">
        <v>9400</v>
      </c>
      <c r="Q10" s="111">
        <v>1332</v>
      </c>
      <c r="R10" s="111">
        <v>2981</v>
      </c>
      <c r="S10" s="111">
        <v>143</v>
      </c>
      <c r="T10" s="111"/>
      <c r="U10" s="111"/>
      <c r="V10" s="111">
        <v>1253</v>
      </c>
      <c r="W10" s="111"/>
      <c r="X10" s="111"/>
      <c r="Z10" s="99">
        <f t="shared" si="9"/>
        <v>36396</v>
      </c>
      <c r="AA10" s="111">
        <v>22800</v>
      </c>
      <c r="AB10" s="111">
        <v>3000</v>
      </c>
      <c r="AC10" s="111">
        <v>5400</v>
      </c>
      <c r="AD10" s="111">
        <v>290</v>
      </c>
      <c r="AE10" s="111"/>
      <c r="AF10" s="111">
        <v>278</v>
      </c>
      <c r="AG10" s="111">
        <v>1663</v>
      </c>
      <c r="AH10" s="111">
        <v>2965</v>
      </c>
      <c r="AI10" s="111"/>
      <c r="AK10" s="109">
        <f t="shared" si="5"/>
        <v>1.2193143787742939</v>
      </c>
      <c r="AL10" s="109">
        <f t="shared" si="6"/>
        <v>2.4088953603812295</v>
      </c>
    </row>
    <row r="11" spans="1:38" s="113" customFormat="1" ht="14.4" x14ac:dyDescent="0.3">
      <c r="A11" s="110" t="s">
        <v>151</v>
      </c>
      <c r="B11" s="105" t="s">
        <v>96</v>
      </c>
      <c r="C11" s="99">
        <f t="shared" si="7"/>
        <v>0</v>
      </c>
      <c r="D11" s="111">
        <v>0</v>
      </c>
      <c r="E11" s="111"/>
      <c r="F11" s="111"/>
      <c r="G11" s="111"/>
      <c r="H11" s="111"/>
      <c r="I11" s="111"/>
      <c r="J11" s="111"/>
      <c r="K11" s="111"/>
      <c r="L11" s="111"/>
      <c r="M11" s="112">
        <v>0</v>
      </c>
      <c r="O11" s="99">
        <f t="shared" si="8"/>
        <v>0</v>
      </c>
      <c r="P11" s="111"/>
      <c r="Q11" s="111"/>
      <c r="R11" s="111"/>
      <c r="S11" s="111"/>
      <c r="T11" s="111"/>
      <c r="U11" s="111"/>
      <c r="V11" s="111"/>
      <c r="W11" s="111"/>
      <c r="X11" s="111"/>
      <c r="Z11" s="99">
        <f t="shared" si="9"/>
        <v>0</v>
      </c>
      <c r="AA11" s="111"/>
      <c r="AB11" s="111"/>
      <c r="AC11" s="111"/>
      <c r="AD11" s="111"/>
      <c r="AE11" s="111"/>
      <c r="AF11" s="111"/>
      <c r="AG11" s="111"/>
      <c r="AH11" s="111"/>
      <c r="AI11" s="111"/>
      <c r="AK11" s="109" t="e">
        <f t="shared" si="5"/>
        <v>#DIV/0!</v>
      </c>
      <c r="AL11" s="109" t="e">
        <f t="shared" si="6"/>
        <v>#DIV/0!</v>
      </c>
    </row>
    <row r="12" spans="1:38" s="118" customFormat="1" ht="14.4" x14ac:dyDescent="0.3">
      <c r="A12" s="114" t="s">
        <v>152</v>
      </c>
      <c r="B12" s="115" t="s">
        <v>97</v>
      </c>
      <c r="C12" s="99">
        <f t="shared" si="7"/>
        <v>21.279999999999998</v>
      </c>
      <c r="D12" s="116">
        <v>13.78</v>
      </c>
      <c r="E12" s="116">
        <v>2.34</v>
      </c>
      <c r="F12" s="116">
        <v>3.57</v>
      </c>
      <c r="G12" s="116"/>
      <c r="H12" s="117">
        <v>1.43</v>
      </c>
      <c r="I12" s="117">
        <v>0.16</v>
      </c>
      <c r="J12" s="117"/>
      <c r="K12" s="117"/>
      <c r="L12" s="117"/>
      <c r="M12" s="116">
        <v>0</v>
      </c>
      <c r="O12" s="99">
        <f t="shared" si="8"/>
        <v>0</v>
      </c>
      <c r="P12" s="116"/>
      <c r="Q12" s="116"/>
      <c r="R12" s="116"/>
      <c r="S12" s="116"/>
      <c r="T12" s="116"/>
      <c r="U12" s="116"/>
      <c r="V12" s="116"/>
      <c r="W12" s="116"/>
      <c r="X12" s="116"/>
      <c r="Z12" s="99">
        <f t="shared" si="9"/>
        <v>0</v>
      </c>
      <c r="AA12" s="116"/>
      <c r="AB12" s="116"/>
      <c r="AC12" s="116"/>
      <c r="AD12" s="116"/>
      <c r="AE12" s="116"/>
      <c r="AF12" s="116"/>
      <c r="AG12" s="116"/>
      <c r="AH12" s="116"/>
      <c r="AI12" s="116"/>
      <c r="AK12" s="109">
        <f t="shared" si="5"/>
        <v>0</v>
      </c>
      <c r="AL12" s="109" t="e">
        <f t="shared" si="6"/>
        <v>#DIV/0!</v>
      </c>
    </row>
    <row r="13" spans="1:38" s="118" customFormat="1" ht="14.4" x14ac:dyDescent="0.3">
      <c r="A13" s="110" t="s">
        <v>153</v>
      </c>
      <c r="B13" s="98" t="s">
        <v>3</v>
      </c>
      <c r="C13" s="99">
        <f t="shared" si="7"/>
        <v>1012.98</v>
      </c>
      <c r="D13" s="116">
        <f>573.42+0.24+3.33</f>
        <v>576.99</v>
      </c>
      <c r="E13" s="116">
        <f>50.77+0.03+0.42</f>
        <v>51.220000000000006</v>
      </c>
      <c r="F13" s="116">
        <f>197.71+0.12+1.67</f>
        <v>199.5</v>
      </c>
      <c r="G13" s="116">
        <f>5.63+0.08</f>
        <v>5.71</v>
      </c>
      <c r="H13" s="117">
        <f>6.23+0.07+1</f>
        <v>7.3000000000000007</v>
      </c>
      <c r="I13" s="117">
        <v>10.98</v>
      </c>
      <c r="J13" s="117">
        <f>43.87+0.12+1.66</f>
        <v>45.649999999999991</v>
      </c>
      <c r="K13" s="117">
        <f>3.44+0.09</f>
        <v>3.53</v>
      </c>
      <c r="L13" s="117"/>
      <c r="M13" s="116">
        <v>112.1</v>
      </c>
      <c r="O13" s="99">
        <f t="shared" si="8"/>
        <v>1271</v>
      </c>
      <c r="P13" s="116">
        <v>700</v>
      </c>
      <c r="Q13" s="116">
        <v>200</v>
      </c>
      <c r="R13" s="116">
        <v>180</v>
      </c>
      <c r="S13" s="116"/>
      <c r="T13" s="116">
        <v>1</v>
      </c>
      <c r="U13" s="116">
        <v>6</v>
      </c>
      <c r="V13" s="116">
        <v>40</v>
      </c>
      <c r="W13" s="116">
        <v>28</v>
      </c>
      <c r="X13" s="116">
        <v>116</v>
      </c>
      <c r="Z13" s="99">
        <f t="shared" si="9"/>
        <v>154</v>
      </c>
      <c r="AA13" s="116">
        <v>25</v>
      </c>
      <c r="AB13" s="116">
        <v>5</v>
      </c>
      <c r="AC13" s="116">
        <v>1</v>
      </c>
      <c r="AD13" s="116"/>
      <c r="AE13" s="116">
        <v>1</v>
      </c>
      <c r="AF13" s="116"/>
      <c r="AG13" s="116">
        <v>2</v>
      </c>
      <c r="AH13" s="116"/>
      <c r="AI13" s="116">
        <v>120</v>
      </c>
      <c r="AK13" s="109">
        <f t="shared" si="5"/>
        <v>1.2547138146853838</v>
      </c>
      <c r="AL13" s="109">
        <f t="shared" si="6"/>
        <v>0.12116443745082613</v>
      </c>
    </row>
    <row r="14" spans="1:38" s="120" customFormat="1" ht="15.6" x14ac:dyDescent="0.3">
      <c r="A14" s="185" t="s">
        <v>154</v>
      </c>
      <c r="B14" s="185"/>
      <c r="C14" s="119">
        <f>SUM(C15:C23)</f>
        <v>87629.78</v>
      </c>
      <c r="D14" s="119">
        <f>SUM(D15:D23)</f>
        <v>48119.67</v>
      </c>
      <c r="E14" s="119">
        <f>SUM(E15:E23)</f>
        <v>15165.07</v>
      </c>
      <c r="F14" s="119">
        <f t="shared" ref="F14" si="10">SUM(F15:F23)</f>
        <v>13652.080000000002</v>
      </c>
      <c r="G14" s="119">
        <f>SUM(G15:G23)</f>
        <v>1117.72</v>
      </c>
      <c r="H14" s="119">
        <f>SUM(H15:H23)</f>
        <v>1876.24</v>
      </c>
      <c r="I14" s="119">
        <f t="shared" ref="I14:L14" si="11">SUM(I15:I23)</f>
        <v>1006.16</v>
      </c>
      <c r="J14" s="119">
        <f t="shared" si="11"/>
        <v>4385.04</v>
      </c>
      <c r="K14" s="119">
        <f t="shared" si="11"/>
        <v>1687.39</v>
      </c>
      <c r="L14" s="119">
        <f t="shared" si="11"/>
        <v>137.28</v>
      </c>
      <c r="M14" s="119">
        <f>SUM(M15:M23)</f>
        <v>483.13</v>
      </c>
      <c r="O14" s="119">
        <f>SUM(O15:O23)</f>
        <v>91384</v>
      </c>
      <c r="P14" s="119">
        <f>SUM(P15:P23)</f>
        <v>50244</v>
      </c>
      <c r="Q14" s="119">
        <f t="shared" ref="Q14:X14" si="12">SUM(Q15:Q23)</f>
        <v>16778</v>
      </c>
      <c r="R14" s="119">
        <f t="shared" si="12"/>
        <v>13066</v>
      </c>
      <c r="S14" s="119">
        <f t="shared" si="12"/>
        <v>1286</v>
      </c>
      <c r="T14" s="119">
        <f t="shared" si="12"/>
        <v>2008</v>
      </c>
      <c r="U14" s="119">
        <f t="shared" si="12"/>
        <v>1140</v>
      </c>
      <c r="V14" s="119">
        <f t="shared" si="12"/>
        <v>4592</v>
      </c>
      <c r="W14" s="119">
        <f t="shared" si="12"/>
        <v>1847</v>
      </c>
      <c r="X14" s="119">
        <f t="shared" si="12"/>
        <v>423</v>
      </c>
      <c r="Z14" s="119">
        <f>SUM(Z15:Z23)</f>
        <v>105857</v>
      </c>
      <c r="AA14" s="119">
        <f t="shared" ref="AA14:AE14" si="13">SUM(AA15:AA23)</f>
        <v>56942</v>
      </c>
      <c r="AB14" s="119">
        <f t="shared" si="13"/>
        <v>18032</v>
      </c>
      <c r="AC14" s="119">
        <f t="shared" si="13"/>
        <v>14841</v>
      </c>
      <c r="AD14" s="119">
        <f t="shared" si="13"/>
        <v>1478</v>
      </c>
      <c r="AE14" s="119">
        <f t="shared" si="13"/>
        <v>4187</v>
      </c>
      <c r="AF14" s="119">
        <f>SUM(AF15:AF23)</f>
        <v>684</v>
      </c>
      <c r="AG14" s="119">
        <f t="shared" ref="AG14:AI14" si="14">SUM(AG15:AG23)</f>
        <v>5809</v>
      </c>
      <c r="AH14" s="119">
        <f t="shared" si="14"/>
        <v>3449</v>
      </c>
      <c r="AI14" s="119">
        <f t="shared" si="14"/>
        <v>435</v>
      </c>
      <c r="AK14" s="121">
        <f t="shared" si="5"/>
        <v>1.042841828428646</v>
      </c>
      <c r="AL14" s="121">
        <f t="shared" si="6"/>
        <v>1.1583756456272434</v>
      </c>
    </row>
    <row r="15" spans="1:38" s="118" customFormat="1" ht="14.4" x14ac:dyDescent="0.3">
      <c r="A15" s="110" t="s">
        <v>155</v>
      </c>
      <c r="B15" s="98" t="s">
        <v>11</v>
      </c>
      <c r="C15" s="99">
        <f t="shared" ref="C15:C23" si="15">SUM(D15:M15)</f>
        <v>1199.0500000000002</v>
      </c>
      <c r="D15" s="122">
        <v>845.62</v>
      </c>
      <c r="E15" s="122">
        <v>238.53</v>
      </c>
      <c r="F15" s="122">
        <v>27.73</v>
      </c>
      <c r="G15" s="122"/>
      <c r="H15" s="123"/>
      <c r="I15" s="123"/>
      <c r="J15" s="123">
        <v>1.95</v>
      </c>
      <c r="K15" s="123"/>
      <c r="L15" s="123"/>
      <c r="M15" s="122">
        <v>85.22</v>
      </c>
      <c r="O15" s="99">
        <f t="shared" ref="O15:O23" si="16">SUM(P15:X15)</f>
        <v>480</v>
      </c>
      <c r="P15" s="122">
        <v>150</v>
      </c>
      <c r="Q15" s="122">
        <v>230</v>
      </c>
      <c r="R15" s="122">
        <v>10</v>
      </c>
      <c r="S15" s="122"/>
      <c r="T15" s="122"/>
      <c r="U15" s="122"/>
      <c r="V15" s="122">
        <v>50</v>
      </c>
      <c r="W15" s="122"/>
      <c r="X15" s="122">
        <v>40</v>
      </c>
      <c r="Z15" s="99">
        <f t="shared" ref="Z15:Z23" si="17">SUM(AA15:AI15)</f>
        <v>883</v>
      </c>
      <c r="AA15" s="122">
        <v>290</v>
      </c>
      <c r="AB15" s="122">
        <v>235</v>
      </c>
      <c r="AC15" s="122">
        <v>130</v>
      </c>
      <c r="AD15" s="122">
        <v>81</v>
      </c>
      <c r="AE15" s="122">
        <v>20</v>
      </c>
      <c r="AF15" s="122">
        <v>1</v>
      </c>
      <c r="AG15" s="122">
        <v>65</v>
      </c>
      <c r="AH15" s="122">
        <v>21</v>
      </c>
      <c r="AI15" s="122">
        <v>40</v>
      </c>
      <c r="AK15" s="109">
        <f t="shared" si="5"/>
        <v>0.40031691755973475</v>
      </c>
      <c r="AL15" s="109">
        <f t="shared" si="6"/>
        <v>1.8395833333333333</v>
      </c>
    </row>
    <row r="16" spans="1:38" s="118" customFormat="1" ht="14.4" x14ac:dyDescent="0.3">
      <c r="A16" s="110" t="s">
        <v>156</v>
      </c>
      <c r="B16" s="98" t="s">
        <v>13</v>
      </c>
      <c r="C16" s="99">
        <f t="shared" si="15"/>
        <v>10794.449999999999</v>
      </c>
      <c r="D16" s="116">
        <v>6400</v>
      </c>
      <c r="E16" s="116">
        <f>2935.24-378.52</f>
        <v>2556.7199999999998</v>
      </c>
      <c r="F16" s="116">
        <v>1281.79</v>
      </c>
      <c r="G16" s="116">
        <v>110</v>
      </c>
      <c r="H16" s="117">
        <v>180.86</v>
      </c>
      <c r="I16" s="117">
        <v>46.65</v>
      </c>
      <c r="J16" s="117">
        <v>127.56</v>
      </c>
      <c r="K16" s="117">
        <v>5.54</v>
      </c>
      <c r="L16" s="117">
        <v>2.1</v>
      </c>
      <c r="M16" s="116">
        <v>83.23</v>
      </c>
      <c r="O16" s="99">
        <f t="shared" si="16"/>
        <v>11735</v>
      </c>
      <c r="P16" s="116">
        <v>6700</v>
      </c>
      <c r="Q16" s="116">
        <v>2938</v>
      </c>
      <c r="R16" s="116">
        <v>1342</v>
      </c>
      <c r="S16" s="116">
        <v>132</v>
      </c>
      <c r="T16" s="116">
        <v>235</v>
      </c>
      <c r="U16" s="116">
        <v>70</v>
      </c>
      <c r="V16" s="116">
        <v>203</v>
      </c>
      <c r="W16" s="116">
        <v>25</v>
      </c>
      <c r="X16" s="116">
        <v>90</v>
      </c>
      <c r="Z16" s="99">
        <f t="shared" si="17"/>
        <v>12967</v>
      </c>
      <c r="AA16" s="116">
        <v>7023</v>
      </c>
      <c r="AB16" s="116">
        <v>3073</v>
      </c>
      <c r="AC16" s="116">
        <v>1461</v>
      </c>
      <c r="AD16" s="116">
        <v>132</v>
      </c>
      <c r="AE16" s="116">
        <v>779</v>
      </c>
      <c r="AF16" s="116">
        <v>19</v>
      </c>
      <c r="AG16" s="116">
        <v>283</v>
      </c>
      <c r="AH16" s="116">
        <v>95</v>
      </c>
      <c r="AI16" s="116">
        <v>102</v>
      </c>
      <c r="AK16" s="109">
        <f t="shared" si="5"/>
        <v>1.0871327395096555</v>
      </c>
      <c r="AL16" s="109">
        <f t="shared" si="6"/>
        <v>1.1049850873455476</v>
      </c>
    </row>
    <row r="17" spans="1:39" s="118" customFormat="1" ht="14.4" x14ac:dyDescent="0.3">
      <c r="A17" s="110" t="s">
        <v>157</v>
      </c>
      <c r="B17" s="98" t="s">
        <v>15</v>
      </c>
      <c r="C17" s="99">
        <f t="shared" si="15"/>
        <v>7512.0000000000009</v>
      </c>
      <c r="D17" s="116">
        <v>4582.3</v>
      </c>
      <c r="E17" s="116">
        <v>1552.01</v>
      </c>
      <c r="F17" s="116">
        <v>601.16</v>
      </c>
      <c r="G17" s="116">
        <v>57.14</v>
      </c>
      <c r="H17" s="117">
        <v>85</v>
      </c>
      <c r="I17" s="117">
        <v>62.14</v>
      </c>
      <c r="J17" s="117">
        <v>480.61</v>
      </c>
      <c r="K17" s="117">
        <v>91.64</v>
      </c>
      <c r="L17" s="117"/>
      <c r="M17" s="116">
        <v>0</v>
      </c>
      <c r="O17" s="99">
        <f t="shared" si="16"/>
        <v>7900</v>
      </c>
      <c r="P17" s="116">
        <v>4600</v>
      </c>
      <c r="Q17" s="116">
        <v>1790</v>
      </c>
      <c r="R17" s="116">
        <v>750</v>
      </c>
      <c r="S17" s="116">
        <v>85</v>
      </c>
      <c r="T17" s="116">
        <v>80</v>
      </c>
      <c r="U17" s="116">
        <v>75</v>
      </c>
      <c r="V17" s="116">
        <v>430</v>
      </c>
      <c r="W17" s="116">
        <v>90</v>
      </c>
      <c r="X17" s="116"/>
      <c r="Z17" s="99">
        <f t="shared" si="17"/>
        <v>8970</v>
      </c>
      <c r="AA17" s="116">
        <v>5000</v>
      </c>
      <c r="AB17" s="116">
        <v>1840</v>
      </c>
      <c r="AC17" s="116">
        <v>800</v>
      </c>
      <c r="AD17" s="116">
        <v>85</v>
      </c>
      <c r="AE17" s="116">
        <v>520</v>
      </c>
      <c r="AF17" s="116">
        <v>30</v>
      </c>
      <c r="AG17" s="116">
        <v>460</v>
      </c>
      <c r="AH17" s="116">
        <v>235</v>
      </c>
      <c r="AI17" s="116"/>
      <c r="AK17" s="109">
        <f t="shared" si="5"/>
        <v>1.051650692225772</v>
      </c>
      <c r="AL17" s="109">
        <f t="shared" si="6"/>
        <v>1.1354430379746836</v>
      </c>
    </row>
    <row r="18" spans="1:39" s="118" customFormat="1" ht="14.4" x14ac:dyDescent="0.3">
      <c r="A18" s="110" t="s">
        <v>158</v>
      </c>
      <c r="B18" s="98" t="s">
        <v>17</v>
      </c>
      <c r="C18" s="99">
        <f t="shared" si="15"/>
        <v>3298.48</v>
      </c>
      <c r="D18" s="116">
        <v>1524.2</v>
      </c>
      <c r="E18" s="116">
        <v>370.88</v>
      </c>
      <c r="F18" s="116">
        <v>791.4</v>
      </c>
      <c r="G18" s="116">
        <v>2.42</v>
      </c>
      <c r="H18" s="117">
        <v>13.68</v>
      </c>
      <c r="I18" s="117">
        <v>1.17</v>
      </c>
      <c r="J18" s="117">
        <v>162.56</v>
      </c>
      <c r="K18" s="117">
        <v>265.61</v>
      </c>
      <c r="L18" s="117">
        <v>40.1</v>
      </c>
      <c r="M18" s="116">
        <v>126.46</v>
      </c>
      <c r="O18" s="99">
        <f t="shared" si="16"/>
        <v>4718</v>
      </c>
      <c r="P18" s="116">
        <f>2253+10+85</f>
        <v>2348</v>
      </c>
      <c r="Q18" s="116">
        <f>5+5+719</f>
        <v>729</v>
      </c>
      <c r="R18" s="116">
        <f>5+5+903</f>
        <v>913</v>
      </c>
      <c r="S18" s="116">
        <f>2+7</f>
        <v>9</v>
      </c>
      <c r="T18" s="116">
        <v>12</v>
      </c>
      <c r="U18" s="116">
        <v>2</v>
      </c>
      <c r="V18" s="116">
        <f>2+264</f>
        <v>266</v>
      </c>
      <c r="W18" s="116">
        <f>8+10+316</f>
        <v>334</v>
      </c>
      <c r="X18" s="116">
        <v>105</v>
      </c>
      <c r="Z18" s="99">
        <f t="shared" si="17"/>
        <v>5264</v>
      </c>
      <c r="AA18" s="116">
        <f>15+120+2158</f>
        <v>2293</v>
      </c>
      <c r="AB18" s="116">
        <f>5+5+617</f>
        <v>627</v>
      </c>
      <c r="AC18" s="116">
        <f>37+6+1007</f>
        <v>1050</v>
      </c>
      <c r="AD18" s="116">
        <f>2+12</f>
        <v>14</v>
      </c>
      <c r="AE18" s="116">
        <f>3+464</f>
        <v>467</v>
      </c>
      <c r="AF18" s="116">
        <v>3</v>
      </c>
      <c r="AG18" s="116">
        <v>308</v>
      </c>
      <c r="AH18" s="116">
        <f>8+40+390</f>
        <v>438</v>
      </c>
      <c r="AI18" s="116">
        <v>64</v>
      </c>
      <c r="AK18" s="109">
        <f t="shared" si="5"/>
        <v>1.4303558002473866</v>
      </c>
      <c r="AL18" s="109">
        <f t="shared" si="6"/>
        <v>1.1157270029673592</v>
      </c>
    </row>
    <row r="19" spans="1:39" s="118" customFormat="1" ht="14.4" x14ac:dyDescent="0.3">
      <c r="A19" s="114" t="s">
        <v>159</v>
      </c>
      <c r="B19" s="98" t="s">
        <v>19</v>
      </c>
      <c r="C19" s="99">
        <f t="shared" si="15"/>
        <v>42866.479999999996</v>
      </c>
      <c r="D19" s="116">
        <v>22985.3</v>
      </c>
      <c r="E19" s="116">
        <f>7229.92-265.18</f>
        <v>6964.74</v>
      </c>
      <c r="F19" s="116">
        <v>7276.03</v>
      </c>
      <c r="G19" s="116">
        <v>677.03</v>
      </c>
      <c r="H19" s="117">
        <v>952.58</v>
      </c>
      <c r="I19" s="117">
        <v>642.59</v>
      </c>
      <c r="J19" s="117">
        <v>2245.81</v>
      </c>
      <c r="K19" s="117">
        <v>931</v>
      </c>
      <c r="L19" s="117">
        <v>69.900000000000006</v>
      </c>
      <c r="M19" s="116">
        <v>121.5</v>
      </c>
      <c r="O19" s="99">
        <f t="shared" si="16"/>
        <v>43640</v>
      </c>
      <c r="P19" s="116">
        <v>24300</v>
      </c>
      <c r="Q19" s="116">
        <v>7300</v>
      </c>
      <c r="R19" s="116">
        <v>6500</v>
      </c>
      <c r="S19" s="116">
        <v>710</v>
      </c>
      <c r="T19" s="116">
        <v>940</v>
      </c>
      <c r="U19" s="116">
        <v>670</v>
      </c>
      <c r="V19" s="116">
        <v>2200</v>
      </c>
      <c r="W19" s="116">
        <v>900</v>
      </c>
      <c r="X19" s="116">
        <v>120</v>
      </c>
      <c r="Z19" s="99">
        <f t="shared" si="17"/>
        <v>54833</v>
      </c>
      <c r="AA19" s="116">
        <v>30104</v>
      </c>
      <c r="AB19" s="116">
        <v>8587</v>
      </c>
      <c r="AC19" s="116">
        <v>7865</v>
      </c>
      <c r="AD19" s="116">
        <v>826</v>
      </c>
      <c r="AE19" s="116">
        <v>1678</v>
      </c>
      <c r="AF19" s="116">
        <v>460</v>
      </c>
      <c r="AG19" s="116">
        <v>3224</v>
      </c>
      <c r="AH19" s="116">
        <v>1939</v>
      </c>
      <c r="AI19" s="116">
        <v>150</v>
      </c>
      <c r="AK19" s="109">
        <f t="shared" si="5"/>
        <v>1.0180448686246224</v>
      </c>
      <c r="AL19" s="109">
        <f t="shared" si="6"/>
        <v>1.2564848762603116</v>
      </c>
    </row>
    <row r="20" spans="1:39" s="118" customFormat="1" ht="14.4" x14ac:dyDescent="0.3">
      <c r="A20" s="114" t="s">
        <v>160</v>
      </c>
      <c r="B20" s="98" t="s">
        <v>24</v>
      </c>
      <c r="C20" s="99">
        <f t="shared" si="15"/>
        <v>14453.050000000003</v>
      </c>
      <c r="D20" s="116">
        <v>7696.83</v>
      </c>
      <c r="E20" s="116">
        <v>2418.71</v>
      </c>
      <c r="F20" s="116">
        <v>2444.4299999999998</v>
      </c>
      <c r="G20" s="116">
        <v>227.16</v>
      </c>
      <c r="H20" s="117">
        <v>322.33999999999997</v>
      </c>
      <c r="I20" s="117">
        <v>217.68</v>
      </c>
      <c r="J20" s="117">
        <v>759.12</v>
      </c>
      <c r="K20" s="117">
        <v>301.7</v>
      </c>
      <c r="L20" s="117">
        <v>23.77</v>
      </c>
      <c r="M20" s="116">
        <v>41.31</v>
      </c>
      <c r="O20" s="99">
        <f t="shared" si="16"/>
        <v>14838</v>
      </c>
      <c r="P20" s="116">
        <v>8262</v>
      </c>
      <c r="Q20" s="116">
        <v>2482</v>
      </c>
      <c r="R20" s="116">
        <v>2210</v>
      </c>
      <c r="S20" s="116">
        <v>241</v>
      </c>
      <c r="T20" s="116">
        <v>320</v>
      </c>
      <c r="U20" s="116">
        <v>228</v>
      </c>
      <c r="V20" s="116">
        <v>748</v>
      </c>
      <c r="W20" s="116">
        <v>306</v>
      </c>
      <c r="X20" s="116">
        <v>41</v>
      </c>
      <c r="Z20" s="99">
        <f t="shared" si="17"/>
        <v>18747</v>
      </c>
      <c r="AA20" s="116">
        <v>10236</v>
      </c>
      <c r="AB20" s="116">
        <v>2920</v>
      </c>
      <c r="AC20" s="116">
        <v>2674</v>
      </c>
      <c r="AD20" s="116">
        <v>281</v>
      </c>
      <c r="AE20" s="116">
        <v>572</v>
      </c>
      <c r="AF20" s="116">
        <v>157</v>
      </c>
      <c r="AG20" s="116">
        <v>1196</v>
      </c>
      <c r="AH20" s="116">
        <v>660</v>
      </c>
      <c r="AI20" s="116">
        <v>51</v>
      </c>
      <c r="AK20" s="109">
        <f t="shared" si="5"/>
        <v>1.0266345165899238</v>
      </c>
      <c r="AL20" s="109">
        <f t="shared" si="6"/>
        <v>1.2634452082490901</v>
      </c>
    </row>
    <row r="21" spans="1:39" s="118" customFormat="1" ht="14.4" x14ac:dyDescent="0.3">
      <c r="A21" s="124" t="s">
        <v>161</v>
      </c>
      <c r="B21" s="98" t="s">
        <v>26</v>
      </c>
      <c r="C21" s="99">
        <f t="shared" si="15"/>
        <v>0</v>
      </c>
      <c r="D21" s="116">
        <v>0</v>
      </c>
      <c r="E21" s="116">
        <v>0</v>
      </c>
      <c r="F21" s="116">
        <v>0</v>
      </c>
      <c r="G21" s="116">
        <v>0</v>
      </c>
      <c r="H21" s="117">
        <v>0</v>
      </c>
      <c r="I21" s="117">
        <v>0</v>
      </c>
      <c r="J21" s="117"/>
      <c r="K21" s="117"/>
      <c r="L21" s="117"/>
      <c r="M21" s="116"/>
      <c r="O21" s="99">
        <f t="shared" si="16"/>
        <v>1</v>
      </c>
      <c r="P21" s="116">
        <v>0</v>
      </c>
      <c r="Q21" s="116">
        <v>0</v>
      </c>
      <c r="R21" s="116">
        <v>1</v>
      </c>
      <c r="S21" s="116">
        <v>0</v>
      </c>
      <c r="T21" s="116"/>
      <c r="U21" s="116"/>
      <c r="V21" s="116"/>
      <c r="W21" s="116"/>
      <c r="X21" s="116"/>
      <c r="Z21" s="99">
        <f t="shared" si="17"/>
        <v>2</v>
      </c>
      <c r="AA21" s="116">
        <v>1</v>
      </c>
      <c r="AB21" s="116"/>
      <c r="AC21" s="116">
        <v>1</v>
      </c>
      <c r="AD21" s="116">
        <v>0</v>
      </c>
      <c r="AE21" s="116"/>
      <c r="AF21" s="116"/>
      <c r="AG21" s="116"/>
      <c r="AH21" s="116"/>
      <c r="AI21" s="116"/>
      <c r="AK21" s="109" t="e">
        <f t="shared" si="5"/>
        <v>#DIV/0!</v>
      </c>
      <c r="AL21" s="109">
        <f t="shared" si="6"/>
        <v>2</v>
      </c>
    </row>
    <row r="22" spans="1:39" s="118" customFormat="1" ht="14.4" x14ac:dyDescent="0.3">
      <c r="A22" s="114" t="s">
        <v>162</v>
      </c>
      <c r="B22" s="125" t="s">
        <v>28</v>
      </c>
      <c r="C22" s="99">
        <f t="shared" si="15"/>
        <v>468.21999999999997</v>
      </c>
      <c r="D22" s="116">
        <v>195.68</v>
      </c>
      <c r="E22" s="116">
        <v>101.96</v>
      </c>
      <c r="F22" s="116">
        <v>134.12</v>
      </c>
      <c r="G22" s="116">
        <v>0.67</v>
      </c>
      <c r="H22" s="117">
        <v>8.0299999999999994</v>
      </c>
      <c r="I22" s="117">
        <v>0.67</v>
      </c>
      <c r="J22" s="117">
        <v>13.38</v>
      </c>
      <c r="K22" s="117">
        <v>13.71</v>
      </c>
      <c r="L22" s="117"/>
      <c r="M22" s="116"/>
      <c r="O22" s="99">
        <f t="shared" si="16"/>
        <v>446</v>
      </c>
      <c r="P22" s="116">
        <v>191</v>
      </c>
      <c r="Q22" s="116">
        <v>113</v>
      </c>
      <c r="R22" s="116">
        <v>123</v>
      </c>
      <c r="S22" s="116"/>
      <c r="T22" s="116">
        <v>9</v>
      </c>
      <c r="U22" s="116"/>
      <c r="V22" s="116">
        <v>5</v>
      </c>
      <c r="W22" s="116">
        <v>5</v>
      </c>
      <c r="X22" s="116"/>
      <c r="Z22" s="99">
        <f t="shared" si="17"/>
        <v>619</v>
      </c>
      <c r="AA22" s="116">
        <v>239</v>
      </c>
      <c r="AB22" s="116">
        <v>166</v>
      </c>
      <c r="AC22" s="116">
        <v>148</v>
      </c>
      <c r="AD22" s="116">
        <v>1</v>
      </c>
      <c r="AE22" s="116">
        <v>16</v>
      </c>
      <c r="AF22" s="116">
        <v>1</v>
      </c>
      <c r="AG22" s="116">
        <v>47</v>
      </c>
      <c r="AH22" s="116">
        <v>1</v>
      </c>
      <c r="AI22" s="116"/>
      <c r="AK22" s="109">
        <f t="shared" si="5"/>
        <v>0.95254367604972023</v>
      </c>
      <c r="AL22" s="109">
        <f t="shared" si="6"/>
        <v>1.3878923766816142</v>
      </c>
    </row>
    <row r="23" spans="1:39" s="118" customFormat="1" ht="14.4" x14ac:dyDescent="0.3">
      <c r="A23" s="110" t="s">
        <v>163</v>
      </c>
      <c r="B23" s="125" t="s">
        <v>30</v>
      </c>
      <c r="C23" s="99">
        <f t="shared" si="15"/>
        <v>7038.05</v>
      </c>
      <c r="D23" s="126">
        <f>95.27+631.38+236.83+2926.26</f>
        <v>3889.7400000000002</v>
      </c>
      <c r="E23" s="126">
        <f>25.12+173.28+34.99+728.13</f>
        <v>961.52</v>
      </c>
      <c r="F23" s="126">
        <f>31.34+181.51+196.72+685.85</f>
        <v>1095.42</v>
      </c>
      <c r="G23" s="126">
        <f>1.82+9.14+9.66+22.68</f>
        <v>43.3</v>
      </c>
      <c r="H23" s="127">
        <f>6.92+37.51+1.95+267.37</f>
        <v>313.75</v>
      </c>
      <c r="I23" s="127">
        <f>2.01+10.69+0.17+22.39</f>
        <v>35.26</v>
      </c>
      <c r="J23" s="127">
        <f>11.85+71.54+60.96+449.7</f>
        <v>594.04999999999995</v>
      </c>
      <c r="K23" s="127">
        <f>4.21+31.7+3.16+39.12</f>
        <v>78.19</v>
      </c>
      <c r="L23" s="127">
        <v>1.41</v>
      </c>
      <c r="M23" s="126">
        <v>25.41</v>
      </c>
      <c r="O23" s="99">
        <f t="shared" si="16"/>
        <v>7626</v>
      </c>
      <c r="P23" s="126">
        <f>100+908+5+2453+227</f>
        <v>3693</v>
      </c>
      <c r="Q23" s="126">
        <f>30+282+813+71</f>
        <v>1196</v>
      </c>
      <c r="R23" s="126">
        <f>27+218+889+83</f>
        <v>1217</v>
      </c>
      <c r="S23" s="126">
        <f>3+25+36+45</f>
        <v>109</v>
      </c>
      <c r="T23" s="126">
        <f>5+35+2+340+30</f>
        <v>412</v>
      </c>
      <c r="U23" s="126">
        <f>3+21+41+30</f>
        <v>95</v>
      </c>
      <c r="V23" s="126">
        <f>9+76+1+576+28</f>
        <v>690</v>
      </c>
      <c r="W23" s="126">
        <f>5+26+36+120</f>
        <v>187</v>
      </c>
      <c r="X23" s="126">
        <f>2+25</f>
        <v>27</v>
      </c>
      <c r="Z23" s="99">
        <f t="shared" si="17"/>
        <v>3572</v>
      </c>
      <c r="AA23" s="126">
        <v>1756</v>
      </c>
      <c r="AB23" s="126">
        <v>584</v>
      </c>
      <c r="AC23" s="126">
        <v>712</v>
      </c>
      <c r="AD23" s="126">
        <v>58</v>
      </c>
      <c r="AE23" s="126">
        <v>135</v>
      </c>
      <c r="AF23" s="126">
        <v>13</v>
      </c>
      <c r="AG23" s="126">
        <v>226</v>
      </c>
      <c r="AH23" s="126">
        <v>60</v>
      </c>
      <c r="AI23" s="126">
        <f>3+25</f>
        <v>28</v>
      </c>
      <c r="AK23" s="109">
        <f t="shared" si="5"/>
        <v>1.0835387642884038</v>
      </c>
      <c r="AL23" s="109">
        <f t="shared" si="6"/>
        <v>0.46839758720167846</v>
      </c>
    </row>
    <row r="24" spans="1:39" s="118" customFormat="1" ht="14.4" x14ac:dyDescent="0.3">
      <c r="A24" s="128" t="s">
        <v>115</v>
      </c>
      <c r="B24" s="129"/>
      <c r="C24" s="94">
        <f>C7-C14</f>
        <v>-31580.969999999994</v>
      </c>
      <c r="D24" s="94">
        <f>D7-D14</f>
        <v>-11453.009999999995</v>
      </c>
      <c r="E24" s="94">
        <f t="shared" ref="E24:M24" si="18">E7-E14</f>
        <v>-8821.0099999999984</v>
      </c>
      <c r="F24" s="94">
        <f t="shared" si="18"/>
        <v>-4159.18</v>
      </c>
      <c r="G24" s="94">
        <f t="shared" si="18"/>
        <v>-864.47</v>
      </c>
      <c r="H24" s="94">
        <f t="shared" si="18"/>
        <v>-1405.15</v>
      </c>
      <c r="I24" s="94">
        <f t="shared" si="18"/>
        <v>-893.29</v>
      </c>
      <c r="J24" s="94">
        <f t="shared" si="18"/>
        <v>-1854.3599999999997</v>
      </c>
      <c r="K24" s="94">
        <f t="shared" si="18"/>
        <v>-1680.23</v>
      </c>
      <c r="L24" s="94">
        <f t="shared" si="18"/>
        <v>-137.28</v>
      </c>
      <c r="M24" s="94">
        <f t="shared" si="18"/>
        <v>-312.99</v>
      </c>
      <c r="N24" s="130"/>
      <c r="O24" s="94">
        <f>O7-O14</f>
        <v>-30004</v>
      </c>
      <c r="P24" s="94">
        <f t="shared" ref="P24:X24" si="19">P7-P14</f>
        <v>-10644</v>
      </c>
      <c r="Q24" s="94">
        <f t="shared" si="19"/>
        <v>-9046</v>
      </c>
      <c r="R24" s="94">
        <f t="shared" si="19"/>
        <v>-2605</v>
      </c>
      <c r="S24" s="94">
        <f t="shared" si="19"/>
        <v>-943</v>
      </c>
      <c r="T24" s="94">
        <f t="shared" si="19"/>
        <v>-1497</v>
      </c>
      <c r="U24" s="94">
        <f t="shared" si="19"/>
        <v>-994</v>
      </c>
      <c r="V24" s="94">
        <f t="shared" si="19"/>
        <v>-2199</v>
      </c>
      <c r="W24" s="94">
        <f t="shared" si="19"/>
        <v>-1819</v>
      </c>
      <c r="X24" s="94">
        <f t="shared" si="19"/>
        <v>-257</v>
      </c>
      <c r="Y24" s="130"/>
      <c r="Z24" s="94">
        <f>Z7-Z14</f>
        <v>-21040</v>
      </c>
      <c r="AA24" s="94">
        <f t="shared" ref="AA24:AE24" si="20">AA7-AA14</f>
        <v>-4117</v>
      </c>
      <c r="AB24" s="94">
        <f t="shared" si="20"/>
        <v>-6927</v>
      </c>
      <c r="AC24" s="94">
        <f t="shared" si="20"/>
        <v>-1640</v>
      </c>
      <c r="AD24" s="94">
        <f t="shared" si="20"/>
        <v>-873</v>
      </c>
      <c r="AE24" s="94">
        <f t="shared" si="20"/>
        <v>-3376</v>
      </c>
      <c r="AF24" s="94">
        <f t="shared" ref="AF24" si="21">AF7-AF14</f>
        <v>-316</v>
      </c>
      <c r="AG24" s="94">
        <f t="shared" ref="AG24:AI24" si="22">AG7-AG14</f>
        <v>-3044</v>
      </c>
      <c r="AH24" s="94">
        <f t="shared" si="22"/>
        <v>-482</v>
      </c>
      <c r="AI24" s="94">
        <f t="shared" si="22"/>
        <v>-265</v>
      </c>
      <c r="AJ24" s="130"/>
      <c r="AK24" s="131"/>
      <c r="AL24" s="131"/>
    </row>
    <row r="25" spans="1:39" s="118" customFormat="1" ht="14.4" x14ac:dyDescent="0.3">
      <c r="A25" s="132" t="s">
        <v>94</v>
      </c>
      <c r="B25" s="133"/>
      <c r="C25" s="99">
        <f>SUM(D25:M25)</f>
        <v>31482.090000000007</v>
      </c>
      <c r="D25" s="135">
        <v>11453.01</v>
      </c>
      <c r="E25" s="135">
        <v>8821.01</v>
      </c>
      <c r="F25" s="135">
        <v>4159.18</v>
      </c>
      <c r="G25" s="135">
        <v>864.47</v>
      </c>
      <c r="H25" s="135">
        <v>1405.15</v>
      </c>
      <c r="I25" s="135">
        <v>893.29</v>
      </c>
      <c r="J25" s="135">
        <v>1854.36</v>
      </c>
      <c r="K25" s="135">
        <v>1680.23</v>
      </c>
      <c r="L25" s="135">
        <v>38.4</v>
      </c>
      <c r="M25" s="135">
        <v>312.99</v>
      </c>
      <c r="N25" s="130"/>
      <c r="O25" s="134">
        <f>SUM(P25:X25)</f>
        <v>29986</v>
      </c>
      <c r="P25" s="135">
        <v>10644</v>
      </c>
      <c r="Q25" s="135">
        <v>9028</v>
      </c>
      <c r="R25" s="135">
        <v>2605</v>
      </c>
      <c r="S25" s="135">
        <v>943</v>
      </c>
      <c r="T25" s="135">
        <v>1497</v>
      </c>
      <c r="U25" s="135">
        <v>994</v>
      </c>
      <c r="V25" s="135">
        <v>2199</v>
      </c>
      <c r="W25" s="135">
        <v>1819</v>
      </c>
      <c r="X25" s="135">
        <v>257</v>
      </c>
      <c r="Y25" s="130"/>
      <c r="Z25" s="134">
        <f>SUM(AA25:AI25)</f>
        <v>21000</v>
      </c>
      <c r="AA25" s="135">
        <v>4109</v>
      </c>
      <c r="AB25" s="135">
        <v>6913</v>
      </c>
      <c r="AC25" s="135">
        <v>1640</v>
      </c>
      <c r="AD25" s="135">
        <v>873</v>
      </c>
      <c r="AE25" s="135">
        <v>3376</v>
      </c>
      <c r="AF25" s="135">
        <v>316</v>
      </c>
      <c r="AG25" s="135">
        <v>3044</v>
      </c>
      <c r="AH25" s="135">
        <v>464</v>
      </c>
      <c r="AI25" s="135">
        <v>265</v>
      </c>
      <c r="AJ25" s="130"/>
      <c r="AK25" s="136"/>
      <c r="AL25" s="136"/>
    </row>
    <row r="26" spans="1:39" s="118" customFormat="1" ht="15.6" x14ac:dyDescent="0.3">
      <c r="A26" s="186" t="s">
        <v>164</v>
      </c>
      <c r="B26" s="187"/>
      <c r="C26" s="119">
        <f>C24+C25</f>
        <v>-98.879999999986467</v>
      </c>
      <c r="D26" s="119">
        <f t="shared" ref="D26:M26" si="23">D24+D25</f>
        <v>0</v>
      </c>
      <c r="E26" s="119">
        <f>E24+E25</f>
        <v>0</v>
      </c>
      <c r="F26" s="119">
        <f t="shared" si="23"/>
        <v>0</v>
      </c>
      <c r="G26" s="119">
        <f t="shared" si="23"/>
        <v>0</v>
      </c>
      <c r="H26" s="119">
        <f t="shared" si="23"/>
        <v>0</v>
      </c>
      <c r="I26" s="119">
        <f t="shared" si="23"/>
        <v>0</v>
      </c>
      <c r="J26" s="119">
        <f t="shared" si="23"/>
        <v>0</v>
      </c>
      <c r="K26" s="119">
        <f t="shared" si="23"/>
        <v>0</v>
      </c>
      <c r="L26" s="119">
        <f t="shared" si="23"/>
        <v>-98.88</v>
      </c>
      <c r="M26" s="119">
        <f t="shared" si="23"/>
        <v>0</v>
      </c>
      <c r="O26" s="119">
        <f>O24+O25</f>
        <v>-18</v>
      </c>
      <c r="P26" s="119">
        <f t="shared" ref="P26:X26" si="24">P24+P25</f>
        <v>0</v>
      </c>
      <c r="Q26" s="119">
        <f t="shared" si="24"/>
        <v>-18</v>
      </c>
      <c r="R26" s="119">
        <f t="shared" si="24"/>
        <v>0</v>
      </c>
      <c r="S26" s="119">
        <f t="shared" si="24"/>
        <v>0</v>
      </c>
      <c r="T26" s="119">
        <f t="shared" si="24"/>
        <v>0</v>
      </c>
      <c r="U26" s="119">
        <f t="shared" si="24"/>
        <v>0</v>
      </c>
      <c r="V26" s="119">
        <f t="shared" si="24"/>
        <v>0</v>
      </c>
      <c r="W26" s="119">
        <f t="shared" si="24"/>
        <v>0</v>
      </c>
      <c r="X26" s="119">
        <f t="shared" si="24"/>
        <v>0</v>
      </c>
      <c r="Z26" s="119">
        <f>Z24+Z25</f>
        <v>-40</v>
      </c>
      <c r="AA26" s="119">
        <f t="shared" ref="AA26:AE26" si="25">AA24+AA25</f>
        <v>-8</v>
      </c>
      <c r="AB26" s="119">
        <f t="shared" si="25"/>
        <v>-14</v>
      </c>
      <c r="AC26" s="119">
        <f t="shared" si="25"/>
        <v>0</v>
      </c>
      <c r="AD26" s="119">
        <f t="shared" si="25"/>
        <v>0</v>
      </c>
      <c r="AE26" s="119">
        <f t="shared" si="25"/>
        <v>0</v>
      </c>
      <c r="AF26" s="119">
        <f>AF24+AF25</f>
        <v>0</v>
      </c>
      <c r="AG26" s="119">
        <f t="shared" ref="AG26:AI26" si="26">AG24+AG25</f>
        <v>0</v>
      </c>
      <c r="AH26" s="119">
        <f t="shared" si="26"/>
        <v>-18</v>
      </c>
      <c r="AI26" s="119">
        <f t="shared" si="26"/>
        <v>0</v>
      </c>
      <c r="AK26" s="121">
        <f>O26/C26</f>
        <v>0.18203883495148124</v>
      </c>
      <c r="AL26" s="121">
        <f>Z26/O26</f>
        <v>2.2222222222222223</v>
      </c>
    </row>
    <row r="27" spans="1:39" s="139" customFormat="1" ht="15" customHeight="1" x14ac:dyDescent="0.25">
      <c r="A27" s="194"/>
      <c r="B27" s="194"/>
      <c r="C27" s="137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O27" s="140"/>
      <c r="Z27" s="140"/>
      <c r="AA27" s="140"/>
      <c r="AB27" s="140"/>
      <c r="AC27" s="140"/>
      <c r="AD27" s="140"/>
      <c r="AE27" s="140"/>
      <c r="AK27" s="141"/>
      <c r="AL27" s="141"/>
    </row>
    <row r="28" spans="1:39" s="118" customFormat="1" ht="14.4" x14ac:dyDescent="0.3">
      <c r="A28" s="189" t="s">
        <v>43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O28" s="191" t="s">
        <v>43</v>
      </c>
      <c r="P28" s="191"/>
      <c r="Q28" s="191"/>
      <c r="R28" s="191"/>
      <c r="S28" s="191"/>
      <c r="T28" s="191"/>
      <c r="U28" s="191"/>
      <c r="V28" s="191"/>
      <c r="W28" s="191"/>
      <c r="X28" s="191"/>
      <c r="Z28" s="191" t="s">
        <v>43</v>
      </c>
      <c r="AA28" s="191"/>
      <c r="AB28" s="191"/>
      <c r="AC28" s="191"/>
      <c r="AD28" s="191"/>
      <c r="AE28" s="191"/>
      <c r="AF28" s="191"/>
      <c r="AG28" s="191"/>
      <c r="AH28" s="191"/>
      <c r="AI28" s="191"/>
      <c r="AK28" s="142"/>
      <c r="AL28" s="142"/>
    </row>
    <row r="29" spans="1:39" ht="76.2" x14ac:dyDescent="0.25">
      <c r="A29" s="192" t="s">
        <v>143</v>
      </c>
      <c r="B29" s="193"/>
      <c r="C29" s="90" t="s">
        <v>144</v>
      </c>
      <c r="D29" s="91" t="s">
        <v>168</v>
      </c>
      <c r="E29" s="91" t="s">
        <v>169</v>
      </c>
      <c r="F29" s="91" t="s">
        <v>170</v>
      </c>
      <c r="G29" s="91" t="s">
        <v>171</v>
      </c>
      <c r="H29" s="91" t="s">
        <v>173</v>
      </c>
      <c r="I29" s="91" t="s">
        <v>172</v>
      </c>
      <c r="J29" s="91" t="s">
        <v>174</v>
      </c>
      <c r="K29" s="91" t="s">
        <v>175</v>
      </c>
      <c r="L29" s="91" t="s">
        <v>176</v>
      </c>
      <c r="M29" s="91" t="s">
        <v>177</v>
      </c>
      <c r="O29" s="90" t="s">
        <v>139</v>
      </c>
      <c r="P29" s="91" t="s">
        <v>168</v>
      </c>
      <c r="Q29" s="91" t="s">
        <v>169</v>
      </c>
      <c r="R29" s="91" t="s">
        <v>170</v>
      </c>
      <c r="S29" s="91" t="s">
        <v>171</v>
      </c>
      <c r="T29" s="91" t="s">
        <v>173</v>
      </c>
      <c r="U29" s="91" t="s">
        <v>172</v>
      </c>
      <c r="V29" s="91" t="s">
        <v>174</v>
      </c>
      <c r="W29" s="91" t="s">
        <v>175</v>
      </c>
      <c r="X29" s="91" t="s">
        <v>177</v>
      </c>
      <c r="Z29" s="90" t="s">
        <v>140</v>
      </c>
      <c r="AA29" s="91" t="s">
        <v>168</v>
      </c>
      <c r="AB29" s="91" t="s">
        <v>169</v>
      </c>
      <c r="AC29" s="91" t="s">
        <v>170</v>
      </c>
      <c r="AD29" s="91" t="s">
        <v>171</v>
      </c>
      <c r="AE29" s="91" t="s">
        <v>173</v>
      </c>
      <c r="AF29" s="91" t="s">
        <v>172</v>
      </c>
      <c r="AG29" s="91" t="s">
        <v>174</v>
      </c>
      <c r="AH29" s="91" t="s">
        <v>175</v>
      </c>
      <c r="AI29" s="91" t="s">
        <v>177</v>
      </c>
      <c r="AK29" s="92" t="s">
        <v>145</v>
      </c>
      <c r="AL29" s="93" t="s">
        <v>146</v>
      </c>
    </row>
    <row r="30" spans="1:39" s="95" customFormat="1" ht="15.6" x14ac:dyDescent="0.3">
      <c r="A30" s="185" t="s">
        <v>147</v>
      </c>
      <c r="B30" s="185"/>
      <c r="C30" s="94">
        <f>SUM(C31:C36)</f>
        <v>808.66000000000008</v>
      </c>
      <c r="D30" s="94">
        <f>D31+SUM(D33:D36)</f>
        <v>15.99</v>
      </c>
      <c r="E30" s="94">
        <f t="shared" ref="E30:F30" si="27">E31+SUM(E33:E36)</f>
        <v>654.66000000000008</v>
      </c>
      <c r="F30" s="94">
        <f t="shared" si="27"/>
        <v>0.38</v>
      </c>
      <c r="G30" s="94">
        <f>G31+SUM(G33:G36)</f>
        <v>0.02</v>
      </c>
      <c r="H30" s="94">
        <f>H31+SUM(H33:H36)</f>
        <v>0.22</v>
      </c>
      <c r="I30" s="94">
        <f t="shared" ref="I30:L30" si="28">I31+SUM(I33:I36)</f>
        <v>0.02</v>
      </c>
      <c r="J30" s="94">
        <f t="shared" si="28"/>
        <v>0.38</v>
      </c>
      <c r="K30" s="94">
        <f t="shared" si="28"/>
        <v>13.24</v>
      </c>
      <c r="L30" s="94">
        <f t="shared" si="28"/>
        <v>123.75</v>
      </c>
      <c r="M30" s="94">
        <f>M31+SUM(M33:M36)</f>
        <v>0</v>
      </c>
      <c r="O30" s="94">
        <f>SUM(O31:O36)</f>
        <v>18</v>
      </c>
      <c r="P30" s="94">
        <f>P31+SUM(P33:P36)</f>
        <v>0</v>
      </c>
      <c r="Q30" s="94">
        <f t="shared" ref="Q30:X30" si="29">Q31+SUM(Q33:Q36)</f>
        <v>18</v>
      </c>
      <c r="R30" s="94">
        <f t="shared" si="29"/>
        <v>0</v>
      </c>
      <c r="S30" s="94">
        <f t="shared" si="29"/>
        <v>0</v>
      </c>
      <c r="T30" s="94">
        <f t="shared" si="29"/>
        <v>0</v>
      </c>
      <c r="U30" s="94">
        <f t="shared" si="29"/>
        <v>0</v>
      </c>
      <c r="V30" s="94">
        <f t="shared" si="29"/>
        <v>0</v>
      </c>
      <c r="W30" s="94">
        <f t="shared" si="29"/>
        <v>0</v>
      </c>
      <c r="X30" s="94">
        <f t="shared" si="29"/>
        <v>0</v>
      </c>
      <c r="Z30" s="94">
        <f>SUM(Z31:Z36)</f>
        <v>40</v>
      </c>
      <c r="AA30" s="94">
        <f t="shared" ref="AA30:AE30" si="30">AA31+SUM(AA33:AA36)</f>
        <v>8</v>
      </c>
      <c r="AB30" s="94">
        <f t="shared" si="30"/>
        <v>14</v>
      </c>
      <c r="AC30" s="94">
        <f t="shared" si="30"/>
        <v>0</v>
      </c>
      <c r="AD30" s="94">
        <f t="shared" si="30"/>
        <v>0</v>
      </c>
      <c r="AE30" s="94">
        <f t="shared" si="30"/>
        <v>0</v>
      </c>
      <c r="AF30" s="94">
        <f>AF31+SUM(AF33:AF36)</f>
        <v>0</v>
      </c>
      <c r="AG30" s="94">
        <f t="shared" ref="AG30:AI30" si="31">AG31+SUM(AG33:AG36)</f>
        <v>0</v>
      </c>
      <c r="AH30" s="94">
        <f t="shared" si="31"/>
        <v>18</v>
      </c>
      <c r="AI30" s="94">
        <f t="shared" si="31"/>
        <v>0</v>
      </c>
      <c r="AK30" s="96">
        <f t="shared" ref="AK30:AK46" si="32">O30/C30</f>
        <v>2.2259045828902133E-2</v>
      </c>
      <c r="AL30" s="96">
        <f t="shared" ref="AL30:AL46" si="33">Z30/O30</f>
        <v>2.2222222222222223</v>
      </c>
    </row>
    <row r="31" spans="1:39" s="113" customFormat="1" ht="14.4" x14ac:dyDescent="0.3">
      <c r="A31" s="97" t="s">
        <v>148</v>
      </c>
      <c r="B31" s="98" t="s">
        <v>121</v>
      </c>
      <c r="C31" s="99">
        <f t="shared" ref="C31:C36" si="34">SUM(D31:M31)</f>
        <v>807.72</v>
      </c>
      <c r="D31" s="100">
        <v>15.24</v>
      </c>
      <c r="E31" s="100">
        <f>1.98+637.59+15+0.09</f>
        <v>654.66000000000008</v>
      </c>
      <c r="F31" s="100">
        <v>0.38</v>
      </c>
      <c r="G31" s="100">
        <v>0.02</v>
      </c>
      <c r="H31" s="100">
        <v>0.22</v>
      </c>
      <c r="I31" s="100">
        <v>0.02</v>
      </c>
      <c r="J31" s="100">
        <v>0.38</v>
      </c>
      <c r="K31" s="100">
        <f>13.22+0.02</f>
        <v>13.24</v>
      </c>
      <c r="L31" s="100">
        <v>123.56</v>
      </c>
      <c r="M31" s="101"/>
      <c r="N31" s="102"/>
      <c r="O31" s="99">
        <f>SUM(P31:X31)</f>
        <v>18</v>
      </c>
      <c r="P31" s="100"/>
      <c r="Q31" s="100">
        <v>18</v>
      </c>
      <c r="R31" s="100"/>
      <c r="S31" s="100"/>
      <c r="T31" s="100"/>
      <c r="U31" s="100"/>
      <c r="V31" s="100"/>
      <c r="W31" s="100"/>
      <c r="X31" s="100"/>
      <c r="Y31" s="102"/>
      <c r="Z31" s="99">
        <f>SUM(AA31:AI31)</f>
        <v>40</v>
      </c>
      <c r="AA31" s="100">
        <v>8</v>
      </c>
      <c r="AB31" s="100">
        <v>14</v>
      </c>
      <c r="AC31" s="100"/>
      <c r="AD31" s="100"/>
      <c r="AE31" s="100"/>
      <c r="AF31" s="100"/>
      <c r="AG31" s="100"/>
      <c r="AH31" s="100">
        <v>18</v>
      </c>
      <c r="AI31" s="100"/>
      <c r="AJ31" s="102"/>
      <c r="AK31" s="103">
        <f t="shared" si="32"/>
        <v>2.2284950230277819E-2</v>
      </c>
      <c r="AL31" s="103">
        <f t="shared" si="33"/>
        <v>2.2222222222222223</v>
      </c>
      <c r="AM31" s="102"/>
    </row>
    <row r="32" spans="1:39" s="108" customFormat="1" ht="14.4" x14ac:dyDescent="0.3">
      <c r="A32" s="104" t="s">
        <v>149</v>
      </c>
      <c r="B32" s="105" t="s">
        <v>125</v>
      </c>
      <c r="C32" s="99">
        <f t="shared" si="34"/>
        <v>0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7"/>
      <c r="O32" s="99">
        <f t="shared" ref="O32:O36" si="35">SUM(P32:X32)</f>
        <v>0</v>
      </c>
      <c r="P32" s="106"/>
      <c r="Q32" s="106"/>
      <c r="R32" s="106"/>
      <c r="S32" s="106"/>
      <c r="T32" s="106"/>
      <c r="U32" s="106"/>
      <c r="V32" s="106"/>
      <c r="W32" s="106"/>
      <c r="X32" s="106"/>
      <c r="Z32" s="99">
        <f t="shared" ref="Z32:Z36" si="36">SUM(AA32:AI32)</f>
        <v>0</v>
      </c>
      <c r="AA32" s="106"/>
      <c r="AB32" s="106"/>
      <c r="AC32" s="106"/>
      <c r="AD32" s="106"/>
      <c r="AE32" s="106"/>
      <c r="AF32" s="106"/>
      <c r="AG32" s="106"/>
      <c r="AH32" s="106"/>
      <c r="AI32" s="106"/>
      <c r="AK32" s="109" t="e">
        <f t="shared" si="32"/>
        <v>#DIV/0!</v>
      </c>
      <c r="AL32" s="109" t="e">
        <f t="shared" si="33"/>
        <v>#DIV/0!</v>
      </c>
    </row>
    <row r="33" spans="1:39" s="113" customFormat="1" ht="14.4" x14ac:dyDescent="0.3">
      <c r="A33" s="110" t="s">
        <v>150</v>
      </c>
      <c r="B33" s="105" t="s">
        <v>126</v>
      </c>
      <c r="C33" s="99">
        <f t="shared" si="34"/>
        <v>0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2"/>
      <c r="O33" s="99">
        <f t="shared" si="35"/>
        <v>0</v>
      </c>
      <c r="P33" s="111"/>
      <c r="Q33" s="111"/>
      <c r="R33" s="111"/>
      <c r="S33" s="111"/>
      <c r="T33" s="111"/>
      <c r="U33" s="111"/>
      <c r="V33" s="111"/>
      <c r="W33" s="111"/>
      <c r="X33" s="111"/>
      <c r="Z33" s="99">
        <f t="shared" si="36"/>
        <v>0</v>
      </c>
      <c r="AA33" s="111"/>
      <c r="AB33" s="111"/>
      <c r="AC33" s="111"/>
      <c r="AD33" s="111"/>
      <c r="AE33" s="111"/>
      <c r="AF33" s="111"/>
      <c r="AG33" s="111"/>
      <c r="AH33" s="111"/>
      <c r="AI33" s="111"/>
      <c r="AK33" s="109" t="e">
        <f t="shared" si="32"/>
        <v>#DIV/0!</v>
      </c>
      <c r="AL33" s="109" t="e">
        <f t="shared" si="33"/>
        <v>#DIV/0!</v>
      </c>
    </row>
    <row r="34" spans="1:39" s="113" customFormat="1" ht="14.4" x14ac:dyDescent="0.3">
      <c r="A34" s="110" t="s">
        <v>151</v>
      </c>
      <c r="B34" s="105" t="s">
        <v>96</v>
      </c>
      <c r="C34" s="99">
        <f t="shared" si="34"/>
        <v>0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2"/>
      <c r="O34" s="99">
        <f t="shared" si="35"/>
        <v>0</v>
      </c>
      <c r="P34" s="111"/>
      <c r="Q34" s="111"/>
      <c r="R34" s="111"/>
      <c r="S34" s="111"/>
      <c r="T34" s="111"/>
      <c r="U34" s="111"/>
      <c r="V34" s="111"/>
      <c r="W34" s="111"/>
      <c r="X34" s="111"/>
      <c r="Z34" s="99">
        <f t="shared" si="36"/>
        <v>0</v>
      </c>
      <c r="AA34" s="111"/>
      <c r="AB34" s="111"/>
      <c r="AC34" s="111"/>
      <c r="AD34" s="111"/>
      <c r="AE34" s="111"/>
      <c r="AF34" s="111"/>
      <c r="AG34" s="111"/>
      <c r="AH34" s="111"/>
      <c r="AI34" s="111"/>
      <c r="AK34" s="109" t="e">
        <f t="shared" si="32"/>
        <v>#DIV/0!</v>
      </c>
      <c r="AL34" s="109" t="e">
        <f t="shared" si="33"/>
        <v>#DIV/0!</v>
      </c>
    </row>
    <row r="35" spans="1:39" s="118" customFormat="1" ht="14.4" x14ac:dyDescent="0.3">
      <c r="A35" s="114" t="s">
        <v>152</v>
      </c>
      <c r="B35" s="115" t="s">
        <v>97</v>
      </c>
      <c r="C35" s="99">
        <f t="shared" si="34"/>
        <v>0</v>
      </c>
      <c r="D35" s="116"/>
      <c r="E35" s="116"/>
      <c r="F35" s="116"/>
      <c r="G35" s="116"/>
      <c r="H35" s="117"/>
      <c r="I35" s="117"/>
      <c r="J35" s="117"/>
      <c r="K35" s="117"/>
      <c r="L35" s="117"/>
      <c r="M35" s="116"/>
      <c r="O35" s="99">
        <f t="shared" si="35"/>
        <v>0</v>
      </c>
      <c r="P35" s="116"/>
      <c r="Q35" s="116"/>
      <c r="R35" s="116"/>
      <c r="S35" s="116"/>
      <c r="T35" s="116"/>
      <c r="U35" s="116"/>
      <c r="V35" s="116"/>
      <c r="W35" s="116"/>
      <c r="X35" s="116"/>
      <c r="Z35" s="99">
        <f t="shared" si="36"/>
        <v>0</v>
      </c>
      <c r="AA35" s="116"/>
      <c r="AB35" s="116"/>
      <c r="AC35" s="116"/>
      <c r="AD35" s="116"/>
      <c r="AE35" s="116"/>
      <c r="AF35" s="116"/>
      <c r="AG35" s="116"/>
      <c r="AH35" s="116"/>
      <c r="AI35" s="116"/>
      <c r="AK35" s="109" t="e">
        <f t="shared" si="32"/>
        <v>#DIV/0!</v>
      </c>
      <c r="AL35" s="109" t="e">
        <f t="shared" si="33"/>
        <v>#DIV/0!</v>
      </c>
    </row>
    <row r="36" spans="1:39" s="118" customFormat="1" ht="14.4" x14ac:dyDescent="0.3">
      <c r="A36" s="110" t="s">
        <v>153</v>
      </c>
      <c r="B36" s="98" t="s">
        <v>3</v>
      </c>
      <c r="C36" s="99">
        <f t="shared" si="34"/>
        <v>0.94</v>
      </c>
      <c r="D36" s="116">
        <v>0.75</v>
      </c>
      <c r="E36" s="116"/>
      <c r="F36" s="116"/>
      <c r="G36" s="116"/>
      <c r="H36" s="117"/>
      <c r="I36" s="117"/>
      <c r="J36" s="117"/>
      <c r="K36" s="117"/>
      <c r="L36" s="117">
        <v>0.19</v>
      </c>
      <c r="M36" s="116"/>
      <c r="O36" s="99">
        <f t="shared" si="35"/>
        <v>0</v>
      </c>
      <c r="P36" s="116"/>
      <c r="Q36" s="116"/>
      <c r="R36" s="116"/>
      <c r="S36" s="116"/>
      <c r="T36" s="116"/>
      <c r="U36" s="116"/>
      <c r="V36" s="116"/>
      <c r="W36" s="116"/>
      <c r="X36" s="116"/>
      <c r="Z36" s="99">
        <f t="shared" si="36"/>
        <v>0</v>
      </c>
      <c r="AA36" s="116"/>
      <c r="AB36" s="116"/>
      <c r="AC36" s="116"/>
      <c r="AD36" s="116"/>
      <c r="AE36" s="116"/>
      <c r="AF36" s="116"/>
      <c r="AG36" s="116"/>
      <c r="AH36" s="116"/>
      <c r="AI36" s="116"/>
      <c r="AK36" s="109">
        <f t="shared" si="32"/>
        <v>0</v>
      </c>
      <c r="AL36" s="109" t="e">
        <f t="shared" si="33"/>
        <v>#DIV/0!</v>
      </c>
    </row>
    <row r="37" spans="1:39" s="118" customFormat="1" ht="15.6" x14ac:dyDescent="0.3">
      <c r="A37" s="185" t="s">
        <v>154</v>
      </c>
      <c r="B37" s="185"/>
      <c r="C37" s="119">
        <f>SUM(C38:C46)</f>
        <v>643.70000000000005</v>
      </c>
      <c r="D37" s="119">
        <f>SUM(D38:D46)</f>
        <v>0</v>
      </c>
      <c r="E37" s="119">
        <f t="shared" ref="E37:F37" si="37">SUM(E38:E46)</f>
        <v>643.70000000000005</v>
      </c>
      <c r="F37" s="119">
        <f t="shared" si="37"/>
        <v>0</v>
      </c>
      <c r="G37" s="119">
        <f>SUM(G38:G46)</f>
        <v>0</v>
      </c>
      <c r="H37" s="119">
        <f>SUM(H38:H46)</f>
        <v>0</v>
      </c>
      <c r="I37" s="119">
        <f t="shared" ref="I37:L37" si="38">SUM(I38:I46)</f>
        <v>0</v>
      </c>
      <c r="J37" s="119">
        <f t="shared" si="38"/>
        <v>0</v>
      </c>
      <c r="K37" s="119">
        <f t="shared" si="38"/>
        <v>0</v>
      </c>
      <c r="L37" s="119">
        <f t="shared" si="38"/>
        <v>0</v>
      </c>
      <c r="M37" s="119">
        <f>SUM(M38:M46)</f>
        <v>0</v>
      </c>
      <c r="N37" s="120"/>
      <c r="O37" s="119">
        <f>SUM(O38:O46)</f>
        <v>0</v>
      </c>
      <c r="P37" s="119">
        <f t="shared" ref="P37:X37" si="39">SUM(P38:P46)</f>
        <v>0</v>
      </c>
      <c r="Q37" s="119">
        <f t="shared" si="39"/>
        <v>0</v>
      </c>
      <c r="R37" s="119">
        <f t="shared" si="39"/>
        <v>0</v>
      </c>
      <c r="S37" s="119">
        <f t="shared" si="39"/>
        <v>0</v>
      </c>
      <c r="T37" s="119">
        <f t="shared" si="39"/>
        <v>0</v>
      </c>
      <c r="U37" s="119">
        <f t="shared" si="39"/>
        <v>0</v>
      </c>
      <c r="V37" s="119">
        <f t="shared" si="39"/>
        <v>0</v>
      </c>
      <c r="W37" s="119">
        <f t="shared" si="39"/>
        <v>0</v>
      </c>
      <c r="X37" s="119">
        <f t="shared" si="39"/>
        <v>0</v>
      </c>
      <c r="Y37" s="120"/>
      <c r="Z37" s="119">
        <f>SUM(Z38:Z46)</f>
        <v>0</v>
      </c>
      <c r="AA37" s="119">
        <f t="shared" ref="AA37:AE37" si="40">SUM(AA38:AA46)</f>
        <v>0</v>
      </c>
      <c r="AB37" s="119">
        <f t="shared" si="40"/>
        <v>0</v>
      </c>
      <c r="AC37" s="119">
        <f t="shared" si="40"/>
        <v>0</v>
      </c>
      <c r="AD37" s="119">
        <f t="shared" si="40"/>
        <v>0</v>
      </c>
      <c r="AE37" s="119">
        <f t="shared" si="40"/>
        <v>0</v>
      </c>
      <c r="AF37" s="119">
        <f>SUM(AF38:AF46)</f>
        <v>0</v>
      </c>
      <c r="AG37" s="119">
        <f t="shared" ref="AG37:AI37" si="41">SUM(AG38:AG46)</f>
        <v>0</v>
      </c>
      <c r="AH37" s="119">
        <f t="shared" si="41"/>
        <v>0</v>
      </c>
      <c r="AI37" s="119">
        <f t="shared" si="41"/>
        <v>0</v>
      </c>
      <c r="AJ37" s="120"/>
      <c r="AK37" s="121">
        <f t="shared" si="32"/>
        <v>0</v>
      </c>
      <c r="AL37" s="121" t="e">
        <f t="shared" si="33"/>
        <v>#DIV/0!</v>
      </c>
      <c r="AM37" s="120"/>
    </row>
    <row r="38" spans="1:39" s="118" customFormat="1" ht="14.4" x14ac:dyDescent="0.3">
      <c r="A38" s="110" t="s">
        <v>155</v>
      </c>
      <c r="B38" s="98" t="s">
        <v>11</v>
      </c>
      <c r="C38" s="99">
        <f t="shared" ref="C38:C46" si="42">SUM(D38:M38)</f>
        <v>0</v>
      </c>
      <c r="D38" s="122"/>
      <c r="E38" s="122"/>
      <c r="F38" s="122"/>
      <c r="G38" s="122"/>
      <c r="H38" s="123"/>
      <c r="I38" s="123"/>
      <c r="J38" s="123"/>
      <c r="K38" s="123"/>
      <c r="L38" s="123"/>
      <c r="M38" s="122"/>
      <c r="O38" s="99">
        <f t="shared" ref="O38:O46" si="43">SUM(P38:X38)</f>
        <v>0</v>
      </c>
      <c r="P38" s="122"/>
      <c r="Q38" s="122"/>
      <c r="R38" s="122"/>
      <c r="S38" s="122"/>
      <c r="T38" s="122"/>
      <c r="U38" s="122"/>
      <c r="V38" s="122"/>
      <c r="W38" s="122"/>
      <c r="X38" s="122"/>
      <c r="Z38" s="99">
        <f t="shared" ref="Z38:Z46" si="44">SUM(AA38:AI38)</f>
        <v>0</v>
      </c>
      <c r="AA38" s="122"/>
      <c r="AB38" s="122"/>
      <c r="AC38" s="122"/>
      <c r="AD38" s="122"/>
      <c r="AE38" s="122"/>
      <c r="AF38" s="122"/>
      <c r="AG38" s="122"/>
      <c r="AH38" s="122"/>
      <c r="AI38" s="122"/>
      <c r="AK38" s="109" t="e">
        <f t="shared" si="32"/>
        <v>#DIV/0!</v>
      </c>
      <c r="AL38" s="109" t="e">
        <f t="shared" si="33"/>
        <v>#DIV/0!</v>
      </c>
    </row>
    <row r="39" spans="1:39" s="118" customFormat="1" ht="14.4" x14ac:dyDescent="0.3">
      <c r="A39" s="110" t="s">
        <v>156</v>
      </c>
      <c r="B39" s="98" t="s">
        <v>13</v>
      </c>
      <c r="C39" s="99">
        <f t="shared" si="42"/>
        <v>378.52</v>
      </c>
      <c r="D39" s="116"/>
      <c r="E39" s="116">
        <v>378.52</v>
      </c>
      <c r="F39" s="116"/>
      <c r="G39" s="116"/>
      <c r="H39" s="117"/>
      <c r="I39" s="117"/>
      <c r="J39" s="117"/>
      <c r="K39" s="117"/>
      <c r="L39" s="117"/>
      <c r="M39" s="116"/>
      <c r="O39" s="99">
        <f t="shared" si="43"/>
        <v>0</v>
      </c>
      <c r="P39" s="116"/>
      <c r="Q39" s="116"/>
      <c r="R39" s="116"/>
      <c r="S39" s="116"/>
      <c r="T39" s="116"/>
      <c r="U39" s="116"/>
      <c r="V39" s="116"/>
      <c r="W39" s="116"/>
      <c r="X39" s="116"/>
      <c r="Z39" s="99">
        <f t="shared" si="44"/>
        <v>0</v>
      </c>
      <c r="AA39" s="116"/>
      <c r="AB39" s="116"/>
      <c r="AC39" s="116"/>
      <c r="AD39" s="116"/>
      <c r="AE39" s="116"/>
      <c r="AF39" s="116"/>
      <c r="AG39" s="116"/>
      <c r="AH39" s="116"/>
      <c r="AI39" s="116"/>
      <c r="AK39" s="109">
        <f t="shared" si="32"/>
        <v>0</v>
      </c>
      <c r="AL39" s="109" t="e">
        <f t="shared" si="33"/>
        <v>#DIV/0!</v>
      </c>
    </row>
    <row r="40" spans="1:39" s="118" customFormat="1" ht="14.4" x14ac:dyDescent="0.3">
      <c r="A40" s="110" t="s">
        <v>157</v>
      </c>
      <c r="B40" s="98" t="s">
        <v>15</v>
      </c>
      <c r="C40" s="99">
        <f t="shared" si="42"/>
        <v>0</v>
      </c>
      <c r="D40" s="116"/>
      <c r="E40" s="116"/>
      <c r="F40" s="116"/>
      <c r="G40" s="116"/>
      <c r="H40" s="117"/>
      <c r="I40" s="117"/>
      <c r="J40" s="117"/>
      <c r="K40" s="117"/>
      <c r="L40" s="117"/>
      <c r="M40" s="116"/>
      <c r="O40" s="99">
        <f t="shared" si="43"/>
        <v>0</v>
      </c>
      <c r="P40" s="116"/>
      <c r="Q40" s="116"/>
      <c r="R40" s="116"/>
      <c r="S40" s="116"/>
      <c r="T40" s="116"/>
      <c r="U40" s="116"/>
      <c r="V40" s="116"/>
      <c r="W40" s="116"/>
      <c r="X40" s="116"/>
      <c r="Z40" s="99">
        <f t="shared" si="44"/>
        <v>0</v>
      </c>
      <c r="AA40" s="116"/>
      <c r="AB40" s="116"/>
      <c r="AC40" s="116"/>
      <c r="AD40" s="116"/>
      <c r="AE40" s="116"/>
      <c r="AF40" s="116"/>
      <c r="AG40" s="116"/>
      <c r="AH40" s="116"/>
      <c r="AI40" s="116"/>
      <c r="AK40" s="109" t="e">
        <f t="shared" si="32"/>
        <v>#DIV/0!</v>
      </c>
      <c r="AL40" s="109" t="e">
        <f t="shared" si="33"/>
        <v>#DIV/0!</v>
      </c>
    </row>
    <row r="41" spans="1:39" s="118" customFormat="1" ht="14.4" x14ac:dyDescent="0.3">
      <c r="A41" s="110" t="s">
        <v>158</v>
      </c>
      <c r="B41" s="98" t="s">
        <v>17</v>
      </c>
      <c r="C41" s="99">
        <f t="shared" si="42"/>
        <v>0</v>
      </c>
      <c r="D41" s="116"/>
      <c r="E41" s="116"/>
      <c r="F41" s="116"/>
      <c r="G41" s="116"/>
      <c r="H41" s="117"/>
      <c r="I41" s="117"/>
      <c r="J41" s="117"/>
      <c r="K41" s="117"/>
      <c r="L41" s="117"/>
      <c r="M41" s="116"/>
      <c r="O41" s="99">
        <f t="shared" si="43"/>
        <v>0</v>
      </c>
      <c r="P41" s="116"/>
      <c r="Q41" s="116"/>
      <c r="R41" s="116"/>
      <c r="S41" s="116"/>
      <c r="T41" s="116"/>
      <c r="U41" s="116"/>
      <c r="V41" s="116"/>
      <c r="W41" s="116"/>
      <c r="X41" s="116"/>
      <c r="Z41" s="99">
        <f t="shared" si="44"/>
        <v>0</v>
      </c>
      <c r="AA41" s="116"/>
      <c r="AB41" s="116"/>
      <c r="AC41" s="116"/>
      <c r="AD41" s="116"/>
      <c r="AE41" s="116"/>
      <c r="AF41" s="116"/>
      <c r="AG41" s="116"/>
      <c r="AH41" s="116"/>
      <c r="AI41" s="116"/>
      <c r="AK41" s="109" t="e">
        <f t="shared" si="32"/>
        <v>#DIV/0!</v>
      </c>
      <c r="AL41" s="109" t="e">
        <f t="shared" si="33"/>
        <v>#DIV/0!</v>
      </c>
    </row>
    <row r="42" spans="1:39" s="118" customFormat="1" ht="14.4" x14ac:dyDescent="0.3">
      <c r="A42" s="114" t="s">
        <v>159</v>
      </c>
      <c r="B42" s="98" t="s">
        <v>19</v>
      </c>
      <c r="C42" s="99">
        <f t="shared" si="42"/>
        <v>265.18</v>
      </c>
      <c r="D42" s="116"/>
      <c r="E42" s="116">
        <v>265.18</v>
      </c>
      <c r="F42" s="116"/>
      <c r="G42" s="116"/>
      <c r="H42" s="117"/>
      <c r="I42" s="117"/>
      <c r="J42" s="117"/>
      <c r="K42" s="117"/>
      <c r="L42" s="117"/>
      <c r="M42" s="116"/>
      <c r="O42" s="99">
        <f t="shared" si="43"/>
        <v>0</v>
      </c>
      <c r="P42" s="116"/>
      <c r="Q42" s="116"/>
      <c r="R42" s="116"/>
      <c r="S42" s="116"/>
      <c r="T42" s="116"/>
      <c r="U42" s="116"/>
      <c r="V42" s="116"/>
      <c r="W42" s="116"/>
      <c r="X42" s="116"/>
      <c r="Z42" s="99">
        <f t="shared" si="44"/>
        <v>0</v>
      </c>
      <c r="AA42" s="116"/>
      <c r="AB42" s="116"/>
      <c r="AC42" s="116"/>
      <c r="AD42" s="116"/>
      <c r="AE42" s="116"/>
      <c r="AF42" s="116"/>
      <c r="AG42" s="116"/>
      <c r="AH42" s="116"/>
      <c r="AI42" s="116"/>
      <c r="AK42" s="109">
        <f t="shared" si="32"/>
        <v>0</v>
      </c>
      <c r="AL42" s="109" t="e">
        <f t="shared" si="33"/>
        <v>#DIV/0!</v>
      </c>
    </row>
    <row r="43" spans="1:39" s="118" customFormat="1" ht="14.4" x14ac:dyDescent="0.3">
      <c r="A43" s="114" t="s">
        <v>160</v>
      </c>
      <c r="B43" s="98" t="s">
        <v>24</v>
      </c>
      <c r="C43" s="99">
        <f t="shared" si="42"/>
        <v>0</v>
      </c>
      <c r="D43" s="116"/>
      <c r="E43" s="116"/>
      <c r="F43" s="116"/>
      <c r="G43" s="116"/>
      <c r="H43" s="117"/>
      <c r="I43" s="117"/>
      <c r="J43" s="117"/>
      <c r="K43" s="117"/>
      <c r="L43" s="117"/>
      <c r="M43" s="116"/>
      <c r="O43" s="99">
        <f t="shared" si="43"/>
        <v>0</v>
      </c>
      <c r="P43" s="116"/>
      <c r="Q43" s="116"/>
      <c r="R43" s="116"/>
      <c r="S43" s="116"/>
      <c r="T43" s="116"/>
      <c r="U43" s="116"/>
      <c r="V43" s="116"/>
      <c r="W43" s="116"/>
      <c r="X43" s="116"/>
      <c r="Z43" s="99">
        <f t="shared" si="44"/>
        <v>0</v>
      </c>
      <c r="AA43" s="116"/>
      <c r="AB43" s="116"/>
      <c r="AC43" s="116"/>
      <c r="AD43" s="116"/>
      <c r="AE43" s="116"/>
      <c r="AF43" s="116"/>
      <c r="AG43" s="116"/>
      <c r="AH43" s="116"/>
      <c r="AI43" s="116"/>
      <c r="AK43" s="109" t="e">
        <f t="shared" si="32"/>
        <v>#DIV/0!</v>
      </c>
      <c r="AL43" s="109" t="e">
        <f t="shared" si="33"/>
        <v>#DIV/0!</v>
      </c>
    </row>
    <row r="44" spans="1:39" s="118" customFormat="1" ht="14.4" x14ac:dyDescent="0.3">
      <c r="A44" s="124" t="s">
        <v>161</v>
      </c>
      <c r="B44" s="98" t="s">
        <v>26</v>
      </c>
      <c r="C44" s="99">
        <f t="shared" si="42"/>
        <v>0</v>
      </c>
      <c r="D44" s="116"/>
      <c r="E44" s="116"/>
      <c r="F44" s="116"/>
      <c r="G44" s="116"/>
      <c r="H44" s="117"/>
      <c r="I44" s="117"/>
      <c r="J44" s="117"/>
      <c r="K44" s="117"/>
      <c r="L44" s="117"/>
      <c r="M44" s="116"/>
      <c r="O44" s="99">
        <f t="shared" si="43"/>
        <v>0</v>
      </c>
      <c r="P44" s="116"/>
      <c r="Q44" s="116"/>
      <c r="R44" s="116"/>
      <c r="S44" s="116"/>
      <c r="T44" s="116"/>
      <c r="U44" s="116"/>
      <c r="V44" s="116"/>
      <c r="W44" s="116"/>
      <c r="X44" s="116"/>
      <c r="Z44" s="99">
        <f t="shared" si="44"/>
        <v>0</v>
      </c>
      <c r="AA44" s="116"/>
      <c r="AB44" s="116"/>
      <c r="AC44" s="116"/>
      <c r="AD44" s="116"/>
      <c r="AE44" s="116"/>
      <c r="AF44" s="116"/>
      <c r="AG44" s="116"/>
      <c r="AH44" s="116"/>
      <c r="AI44" s="116"/>
      <c r="AK44" s="109" t="e">
        <f t="shared" si="32"/>
        <v>#DIV/0!</v>
      </c>
      <c r="AL44" s="109" t="e">
        <f t="shared" si="33"/>
        <v>#DIV/0!</v>
      </c>
    </row>
    <row r="45" spans="1:39" s="118" customFormat="1" ht="14.4" x14ac:dyDescent="0.3">
      <c r="A45" s="114" t="s">
        <v>162</v>
      </c>
      <c r="B45" s="125" t="s">
        <v>28</v>
      </c>
      <c r="C45" s="99">
        <f t="shared" si="42"/>
        <v>0</v>
      </c>
      <c r="D45" s="116"/>
      <c r="E45" s="116"/>
      <c r="F45" s="116"/>
      <c r="G45" s="116"/>
      <c r="H45" s="117"/>
      <c r="I45" s="117"/>
      <c r="J45" s="117"/>
      <c r="K45" s="117"/>
      <c r="L45" s="117"/>
      <c r="M45" s="116"/>
      <c r="O45" s="99">
        <f t="shared" si="43"/>
        <v>0</v>
      </c>
      <c r="P45" s="116"/>
      <c r="Q45" s="116"/>
      <c r="R45" s="116"/>
      <c r="S45" s="116"/>
      <c r="T45" s="116"/>
      <c r="U45" s="116"/>
      <c r="V45" s="116"/>
      <c r="W45" s="116"/>
      <c r="X45" s="116"/>
      <c r="Z45" s="99">
        <f t="shared" si="44"/>
        <v>0</v>
      </c>
      <c r="AA45" s="116"/>
      <c r="AB45" s="116"/>
      <c r="AC45" s="116"/>
      <c r="AD45" s="116"/>
      <c r="AE45" s="116"/>
      <c r="AF45" s="116"/>
      <c r="AG45" s="116"/>
      <c r="AH45" s="116"/>
      <c r="AI45" s="116"/>
      <c r="AK45" s="109" t="e">
        <f t="shared" si="32"/>
        <v>#DIV/0!</v>
      </c>
      <c r="AL45" s="109" t="e">
        <f t="shared" si="33"/>
        <v>#DIV/0!</v>
      </c>
    </row>
    <row r="46" spans="1:39" s="120" customFormat="1" ht="14.4" x14ac:dyDescent="0.3">
      <c r="A46" s="110" t="s">
        <v>163</v>
      </c>
      <c r="B46" s="125" t="s">
        <v>30</v>
      </c>
      <c r="C46" s="99">
        <f t="shared" si="42"/>
        <v>0</v>
      </c>
      <c r="D46" s="126"/>
      <c r="E46" s="126"/>
      <c r="F46" s="126"/>
      <c r="G46" s="126"/>
      <c r="H46" s="127"/>
      <c r="I46" s="127"/>
      <c r="J46" s="127"/>
      <c r="K46" s="127"/>
      <c r="L46" s="127"/>
      <c r="M46" s="126"/>
      <c r="N46" s="118"/>
      <c r="O46" s="99">
        <f t="shared" si="43"/>
        <v>0</v>
      </c>
      <c r="P46" s="126"/>
      <c r="Q46" s="126"/>
      <c r="R46" s="126"/>
      <c r="S46" s="126"/>
      <c r="T46" s="126"/>
      <c r="U46" s="126"/>
      <c r="V46" s="126"/>
      <c r="W46" s="126"/>
      <c r="X46" s="126"/>
      <c r="Y46" s="118"/>
      <c r="Z46" s="99">
        <f t="shared" si="44"/>
        <v>0</v>
      </c>
      <c r="AA46" s="126"/>
      <c r="AB46" s="126"/>
      <c r="AC46" s="126"/>
      <c r="AD46" s="126"/>
      <c r="AE46" s="126"/>
      <c r="AF46" s="126"/>
      <c r="AG46" s="126"/>
      <c r="AH46" s="126"/>
      <c r="AI46" s="126"/>
      <c r="AJ46" s="118"/>
      <c r="AK46" s="109" t="e">
        <f t="shared" si="32"/>
        <v>#DIV/0!</v>
      </c>
      <c r="AL46" s="109" t="e">
        <f t="shared" si="33"/>
        <v>#DIV/0!</v>
      </c>
      <c r="AM46" s="118"/>
    </row>
    <row r="47" spans="1:39" s="118" customFormat="1" ht="14.4" x14ac:dyDescent="0.3">
      <c r="A47" s="128" t="s">
        <v>115</v>
      </c>
      <c r="B47" s="129"/>
      <c r="C47" s="94">
        <f>C30-C37</f>
        <v>164.96000000000004</v>
      </c>
      <c r="D47" s="94">
        <f t="shared" ref="D47:M47" si="45">D30-D37</f>
        <v>15.99</v>
      </c>
      <c r="E47" s="94">
        <f t="shared" si="45"/>
        <v>10.960000000000036</v>
      </c>
      <c r="F47" s="94">
        <f t="shared" si="45"/>
        <v>0.38</v>
      </c>
      <c r="G47" s="94">
        <f t="shared" si="45"/>
        <v>0.02</v>
      </c>
      <c r="H47" s="94">
        <f t="shared" si="45"/>
        <v>0.22</v>
      </c>
      <c r="I47" s="94">
        <f t="shared" si="45"/>
        <v>0.02</v>
      </c>
      <c r="J47" s="94">
        <f t="shared" si="45"/>
        <v>0.38</v>
      </c>
      <c r="K47" s="94">
        <f t="shared" si="45"/>
        <v>13.24</v>
      </c>
      <c r="L47" s="94">
        <f t="shared" si="45"/>
        <v>123.75</v>
      </c>
      <c r="M47" s="94">
        <f t="shared" si="45"/>
        <v>0</v>
      </c>
      <c r="N47" s="130"/>
      <c r="O47" s="94">
        <f>O30-O37</f>
        <v>18</v>
      </c>
      <c r="P47" s="94">
        <f t="shared" ref="P47:X47" si="46">P30-P37</f>
        <v>0</v>
      </c>
      <c r="Q47" s="94">
        <f t="shared" si="46"/>
        <v>18</v>
      </c>
      <c r="R47" s="94">
        <f t="shared" si="46"/>
        <v>0</v>
      </c>
      <c r="S47" s="94">
        <f t="shared" si="46"/>
        <v>0</v>
      </c>
      <c r="T47" s="94">
        <f t="shared" si="46"/>
        <v>0</v>
      </c>
      <c r="U47" s="94">
        <f t="shared" si="46"/>
        <v>0</v>
      </c>
      <c r="V47" s="94">
        <f t="shared" si="46"/>
        <v>0</v>
      </c>
      <c r="W47" s="94">
        <f t="shared" si="46"/>
        <v>0</v>
      </c>
      <c r="X47" s="94">
        <f t="shared" si="46"/>
        <v>0</v>
      </c>
      <c r="Y47" s="130"/>
      <c r="Z47" s="94">
        <f>Z30-Z37</f>
        <v>40</v>
      </c>
      <c r="AA47" s="94">
        <f t="shared" ref="AA47:AE47" si="47">AA30-AA37</f>
        <v>8</v>
      </c>
      <c r="AB47" s="94">
        <f t="shared" si="47"/>
        <v>14</v>
      </c>
      <c r="AC47" s="94">
        <f t="shared" si="47"/>
        <v>0</v>
      </c>
      <c r="AD47" s="94">
        <f t="shared" si="47"/>
        <v>0</v>
      </c>
      <c r="AE47" s="94">
        <f t="shared" si="47"/>
        <v>0</v>
      </c>
      <c r="AF47" s="94">
        <f t="shared" ref="AF47" si="48">AF30-AF37</f>
        <v>0</v>
      </c>
      <c r="AG47" s="94">
        <f t="shared" ref="AG47:AI47" si="49">AG30-AG37</f>
        <v>0</v>
      </c>
      <c r="AH47" s="94">
        <f t="shared" si="49"/>
        <v>18</v>
      </c>
      <c r="AI47" s="94">
        <f t="shared" si="49"/>
        <v>0</v>
      </c>
      <c r="AJ47" s="130"/>
      <c r="AK47" s="131"/>
      <c r="AL47" s="131"/>
    </row>
    <row r="48" spans="1:39" s="118" customFormat="1" ht="14.4" x14ac:dyDescent="0.3">
      <c r="A48" s="132" t="s">
        <v>94</v>
      </c>
      <c r="B48" s="133"/>
      <c r="C48" s="99">
        <f>SUM(D48:M48)</f>
        <v>0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0"/>
      <c r="O48" s="134">
        <f>SUM(P48:X48)</f>
        <v>0</v>
      </c>
      <c r="P48" s="135"/>
      <c r="Q48" s="135"/>
      <c r="R48" s="135"/>
      <c r="S48" s="135"/>
      <c r="T48" s="135"/>
      <c r="U48" s="135"/>
      <c r="V48" s="135"/>
      <c r="W48" s="135"/>
      <c r="X48" s="135"/>
      <c r="Y48" s="130"/>
      <c r="Z48" s="134">
        <f>SUM(AA48:AI48)</f>
        <v>0</v>
      </c>
      <c r="AA48" s="135"/>
      <c r="AB48" s="135"/>
      <c r="AC48" s="135"/>
      <c r="AD48" s="135"/>
      <c r="AE48" s="135"/>
      <c r="AF48" s="135"/>
      <c r="AG48" s="135"/>
      <c r="AH48" s="135"/>
      <c r="AI48" s="135"/>
      <c r="AJ48" s="130"/>
      <c r="AK48" s="136"/>
      <c r="AL48" s="136"/>
    </row>
    <row r="49" spans="1:39" s="118" customFormat="1" ht="15.6" x14ac:dyDescent="0.3">
      <c r="A49" s="186" t="s">
        <v>164</v>
      </c>
      <c r="B49" s="187"/>
      <c r="C49" s="119">
        <f>C47+C48</f>
        <v>164.96000000000004</v>
      </c>
      <c r="D49" s="119">
        <f t="shared" ref="D49:M49" si="50">D47+D48</f>
        <v>15.99</v>
      </c>
      <c r="E49" s="119">
        <f t="shared" si="50"/>
        <v>10.960000000000036</v>
      </c>
      <c r="F49" s="119">
        <f t="shared" si="50"/>
        <v>0.38</v>
      </c>
      <c r="G49" s="119">
        <f t="shared" si="50"/>
        <v>0.02</v>
      </c>
      <c r="H49" s="119">
        <f t="shared" si="50"/>
        <v>0.22</v>
      </c>
      <c r="I49" s="119">
        <f t="shared" si="50"/>
        <v>0.02</v>
      </c>
      <c r="J49" s="119">
        <f t="shared" si="50"/>
        <v>0.38</v>
      </c>
      <c r="K49" s="119">
        <f t="shared" si="50"/>
        <v>13.24</v>
      </c>
      <c r="L49" s="119">
        <f t="shared" si="50"/>
        <v>123.75</v>
      </c>
      <c r="M49" s="119">
        <f t="shared" si="50"/>
        <v>0</v>
      </c>
      <c r="O49" s="119">
        <f>O47+O48</f>
        <v>18</v>
      </c>
      <c r="P49" s="119">
        <f t="shared" ref="P49:X49" si="51">P47+P48</f>
        <v>0</v>
      </c>
      <c r="Q49" s="119">
        <f t="shared" si="51"/>
        <v>18</v>
      </c>
      <c r="R49" s="119">
        <f t="shared" si="51"/>
        <v>0</v>
      </c>
      <c r="S49" s="119">
        <f t="shared" si="51"/>
        <v>0</v>
      </c>
      <c r="T49" s="119">
        <f t="shared" si="51"/>
        <v>0</v>
      </c>
      <c r="U49" s="119">
        <f t="shared" si="51"/>
        <v>0</v>
      </c>
      <c r="V49" s="119">
        <f t="shared" si="51"/>
        <v>0</v>
      </c>
      <c r="W49" s="119">
        <f t="shared" si="51"/>
        <v>0</v>
      </c>
      <c r="X49" s="119">
        <f t="shared" si="51"/>
        <v>0</v>
      </c>
      <c r="Z49" s="119">
        <f>Z47+Z48</f>
        <v>40</v>
      </c>
      <c r="AA49" s="119">
        <f t="shared" ref="AA49:AE49" si="52">AA47+AA48</f>
        <v>8</v>
      </c>
      <c r="AB49" s="119">
        <f t="shared" si="52"/>
        <v>14</v>
      </c>
      <c r="AC49" s="119">
        <f t="shared" si="52"/>
        <v>0</v>
      </c>
      <c r="AD49" s="119">
        <f t="shared" si="52"/>
        <v>0</v>
      </c>
      <c r="AE49" s="119">
        <f t="shared" si="52"/>
        <v>0</v>
      </c>
      <c r="AF49" s="119">
        <f>AF47+AF48</f>
        <v>0</v>
      </c>
      <c r="AG49" s="119">
        <f t="shared" ref="AG49:AI49" si="53">AG47+AG48</f>
        <v>0</v>
      </c>
      <c r="AH49" s="119">
        <f t="shared" si="53"/>
        <v>18</v>
      </c>
      <c r="AI49" s="119">
        <f t="shared" si="53"/>
        <v>0</v>
      </c>
      <c r="AK49" s="121">
        <f>O49/C49</f>
        <v>0.10911736178467504</v>
      </c>
      <c r="AL49" s="121">
        <f>Z49/O49</f>
        <v>2.2222222222222223</v>
      </c>
    </row>
    <row r="50" spans="1:39" s="146" customFormat="1" ht="15.6" x14ac:dyDescent="0.3">
      <c r="A50" s="188"/>
      <c r="B50" s="188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4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K50" s="141"/>
      <c r="AL50" s="141"/>
    </row>
    <row r="51" spans="1:39" s="118" customFormat="1" ht="14.4" x14ac:dyDescent="0.3">
      <c r="A51" s="189" t="s">
        <v>165</v>
      </c>
      <c r="B51" s="189"/>
      <c r="C51" s="189"/>
      <c r="D51" s="189"/>
      <c r="E51" s="189"/>
      <c r="F51" s="189"/>
      <c r="G51" s="189"/>
      <c r="H51" s="189"/>
      <c r="I51" s="190"/>
      <c r="J51" s="190"/>
      <c r="K51" s="190"/>
      <c r="L51" s="190"/>
      <c r="M51" s="190"/>
      <c r="N51" s="139"/>
      <c r="O51" s="191" t="s">
        <v>165</v>
      </c>
      <c r="P51" s="191"/>
      <c r="Q51" s="191"/>
      <c r="R51" s="191"/>
      <c r="S51" s="191"/>
      <c r="T51" s="191"/>
      <c r="U51" s="191"/>
      <c r="V51" s="191"/>
      <c r="W51" s="191"/>
      <c r="X51" s="191"/>
      <c r="Z51" s="191" t="s">
        <v>165</v>
      </c>
      <c r="AA51" s="191"/>
      <c r="AB51" s="191"/>
      <c r="AC51" s="191"/>
      <c r="AD51" s="191"/>
      <c r="AE51" s="191"/>
      <c r="AF51" s="191"/>
      <c r="AG51" s="191"/>
      <c r="AH51" s="191"/>
      <c r="AI51" s="191"/>
      <c r="AK51" s="142"/>
      <c r="AL51" s="142"/>
    </row>
    <row r="52" spans="1:39" ht="76.2" x14ac:dyDescent="0.25">
      <c r="A52" s="192" t="s">
        <v>143</v>
      </c>
      <c r="B52" s="193"/>
      <c r="C52" s="90" t="s">
        <v>144</v>
      </c>
      <c r="D52" s="91" t="s">
        <v>168</v>
      </c>
      <c r="E52" s="91" t="s">
        <v>169</v>
      </c>
      <c r="F52" s="91" t="s">
        <v>170</v>
      </c>
      <c r="G52" s="91" t="s">
        <v>171</v>
      </c>
      <c r="H52" s="91" t="s">
        <v>173</v>
      </c>
      <c r="I52" s="91" t="s">
        <v>172</v>
      </c>
      <c r="J52" s="91" t="s">
        <v>174</v>
      </c>
      <c r="K52" s="91" t="s">
        <v>175</v>
      </c>
      <c r="L52" s="91" t="s">
        <v>176</v>
      </c>
      <c r="M52" s="91" t="s">
        <v>177</v>
      </c>
      <c r="O52" s="90" t="s">
        <v>139</v>
      </c>
      <c r="P52" s="91" t="s">
        <v>168</v>
      </c>
      <c r="Q52" s="91" t="s">
        <v>169</v>
      </c>
      <c r="R52" s="91" t="s">
        <v>170</v>
      </c>
      <c r="S52" s="91" t="s">
        <v>171</v>
      </c>
      <c r="T52" s="91" t="s">
        <v>173</v>
      </c>
      <c r="U52" s="91" t="s">
        <v>172</v>
      </c>
      <c r="V52" s="91" t="s">
        <v>174</v>
      </c>
      <c r="W52" s="91" t="s">
        <v>175</v>
      </c>
      <c r="X52" s="91" t="s">
        <v>177</v>
      </c>
      <c r="Z52" s="90" t="s">
        <v>140</v>
      </c>
      <c r="AA52" s="91" t="s">
        <v>168</v>
      </c>
      <c r="AB52" s="91" t="s">
        <v>169</v>
      </c>
      <c r="AC52" s="91" t="s">
        <v>170</v>
      </c>
      <c r="AD52" s="91" t="s">
        <v>171</v>
      </c>
      <c r="AE52" s="91" t="s">
        <v>173</v>
      </c>
      <c r="AF52" s="91" t="s">
        <v>172</v>
      </c>
      <c r="AG52" s="91" t="s">
        <v>174</v>
      </c>
      <c r="AH52" s="91" t="s">
        <v>175</v>
      </c>
      <c r="AI52" s="91" t="s">
        <v>177</v>
      </c>
      <c r="AK52" s="92" t="s">
        <v>145</v>
      </c>
      <c r="AL52" s="93" t="s">
        <v>146</v>
      </c>
    </row>
    <row r="53" spans="1:39" s="95" customFormat="1" ht="15.6" x14ac:dyDescent="0.3">
      <c r="A53" s="185" t="s">
        <v>147</v>
      </c>
      <c r="B53" s="185"/>
      <c r="C53" s="94">
        <f>SUM(C54:C59)</f>
        <v>56857.47</v>
      </c>
      <c r="D53" s="147">
        <f>D54+SUM(D56:D59)</f>
        <v>36682.65</v>
      </c>
      <c r="E53" s="147">
        <f t="shared" ref="E53:F53" si="54">E54+SUM(E56:E59)</f>
        <v>6998.72</v>
      </c>
      <c r="F53" s="147">
        <f t="shared" si="54"/>
        <v>9493.2800000000007</v>
      </c>
      <c r="G53" s="147">
        <f>G54+SUM(G56:G59)</f>
        <v>253.27</v>
      </c>
      <c r="H53" s="147">
        <f>H54+SUM(H56:H59)</f>
        <v>471.31000000000006</v>
      </c>
      <c r="I53" s="147">
        <f t="shared" ref="I53:L53" si="55">I54+SUM(I56:I59)</f>
        <v>112.89</v>
      </c>
      <c r="J53" s="147">
        <f t="shared" si="55"/>
        <v>2531.0600000000004</v>
      </c>
      <c r="K53" s="147">
        <f t="shared" si="55"/>
        <v>20.400000000000002</v>
      </c>
      <c r="L53" s="147">
        <f t="shared" si="55"/>
        <v>123.75</v>
      </c>
      <c r="M53" s="147">
        <f>M54+SUM(M56:M59)</f>
        <v>170.14</v>
      </c>
      <c r="O53" s="94">
        <f>SUM(O54:O59)</f>
        <v>61398</v>
      </c>
      <c r="P53" s="147">
        <f>P54+SUM(P56:P59)</f>
        <v>39600</v>
      </c>
      <c r="Q53" s="147">
        <f t="shared" ref="Q53:X53" si="56">Q54+SUM(Q56:Q59)</f>
        <v>7750</v>
      </c>
      <c r="R53" s="147">
        <f t="shared" si="56"/>
        <v>10461</v>
      </c>
      <c r="S53" s="147">
        <f t="shared" si="56"/>
        <v>343</v>
      </c>
      <c r="T53" s="147">
        <f t="shared" si="56"/>
        <v>511</v>
      </c>
      <c r="U53" s="147">
        <f t="shared" si="56"/>
        <v>146</v>
      </c>
      <c r="V53" s="147">
        <f t="shared" si="56"/>
        <v>2393</v>
      </c>
      <c r="W53" s="147">
        <f t="shared" si="56"/>
        <v>28</v>
      </c>
      <c r="X53" s="147">
        <f t="shared" si="56"/>
        <v>166</v>
      </c>
      <c r="Z53" s="94">
        <f>SUM(Z54:Z59)</f>
        <v>84857</v>
      </c>
      <c r="AA53" s="94">
        <f t="shared" ref="AA53:AI53" si="57">SUM(AA54:AA59)</f>
        <v>52833</v>
      </c>
      <c r="AB53" s="94">
        <f t="shared" si="57"/>
        <v>11119</v>
      </c>
      <c r="AC53" s="94">
        <f t="shared" si="57"/>
        <v>13201</v>
      </c>
      <c r="AD53" s="94">
        <f t="shared" si="57"/>
        <v>605</v>
      </c>
      <c r="AE53" s="94">
        <f t="shared" si="57"/>
        <v>811</v>
      </c>
      <c r="AF53" s="94">
        <f t="shared" si="57"/>
        <v>368</v>
      </c>
      <c r="AG53" s="94">
        <f t="shared" si="57"/>
        <v>2765</v>
      </c>
      <c r="AH53" s="94">
        <f t="shared" si="57"/>
        <v>2985</v>
      </c>
      <c r="AI53" s="94">
        <f t="shared" si="57"/>
        <v>170</v>
      </c>
      <c r="AK53" s="96">
        <f t="shared" ref="AK53:AK69" si="58">O53/C53</f>
        <v>1.0798581083541001</v>
      </c>
      <c r="AL53" s="96">
        <f t="shared" ref="AL53:AL69" si="59">Z53/O53</f>
        <v>1.3820808495390728</v>
      </c>
    </row>
    <row r="54" spans="1:39" s="102" customFormat="1" ht="14.4" x14ac:dyDescent="0.3">
      <c r="A54" s="97" t="s">
        <v>148</v>
      </c>
      <c r="B54" s="98" t="s">
        <v>121</v>
      </c>
      <c r="C54" s="99">
        <f>C8+C31</f>
        <v>43430.880000000005</v>
      </c>
      <c r="D54" s="148">
        <f t="shared" ref="D54:H54" si="60">D8+D31</f>
        <v>28221.170000000002</v>
      </c>
      <c r="E54" s="148">
        <f t="shared" ref="E54:F54" si="61">E8+E31</f>
        <v>6233.59</v>
      </c>
      <c r="F54" s="148">
        <f t="shared" si="61"/>
        <v>6890.35</v>
      </c>
      <c r="G54" s="148">
        <f t="shared" si="60"/>
        <v>247.56</v>
      </c>
      <c r="H54" s="148">
        <f t="shared" si="60"/>
        <v>462.58000000000004</v>
      </c>
      <c r="I54" s="148">
        <f t="shared" ref="I54:L54" si="62">I8+I31</f>
        <v>101.75</v>
      </c>
      <c r="J54" s="148">
        <f t="shared" si="62"/>
        <v>1085.4100000000001</v>
      </c>
      <c r="K54" s="148">
        <f t="shared" si="62"/>
        <v>16.87</v>
      </c>
      <c r="L54" s="148">
        <f t="shared" si="62"/>
        <v>123.56</v>
      </c>
      <c r="M54" s="148">
        <f>M8+M31</f>
        <v>48.04</v>
      </c>
      <c r="O54" s="99">
        <f>O8+O31</f>
        <v>45018</v>
      </c>
      <c r="P54" s="148">
        <f t="shared" ref="P54" si="63">P8+P31</f>
        <v>29500</v>
      </c>
      <c r="Q54" s="148">
        <f t="shared" ref="Q54:X54" si="64">Q8+Q31</f>
        <v>6218</v>
      </c>
      <c r="R54" s="148">
        <f t="shared" si="64"/>
        <v>7300</v>
      </c>
      <c r="S54" s="148">
        <f t="shared" si="64"/>
        <v>200</v>
      </c>
      <c r="T54" s="148">
        <f t="shared" si="64"/>
        <v>510</v>
      </c>
      <c r="U54" s="148">
        <f t="shared" si="64"/>
        <v>140</v>
      </c>
      <c r="V54" s="148">
        <f t="shared" si="64"/>
        <v>1100</v>
      </c>
      <c r="W54" s="148">
        <f t="shared" si="64"/>
        <v>0</v>
      </c>
      <c r="X54" s="148">
        <f t="shared" si="64"/>
        <v>50</v>
      </c>
      <c r="Z54" s="99">
        <f>Z8+Z31</f>
        <v>48307</v>
      </c>
      <c r="AA54" s="99">
        <f t="shared" ref="AA54:AI54" si="65">AA8+AA31</f>
        <v>30008</v>
      </c>
      <c r="AB54" s="99">
        <f t="shared" si="65"/>
        <v>8114</v>
      </c>
      <c r="AC54" s="99">
        <f t="shared" si="65"/>
        <v>7800</v>
      </c>
      <c r="AD54" s="99">
        <f t="shared" si="65"/>
        <v>315</v>
      </c>
      <c r="AE54" s="99">
        <f t="shared" si="65"/>
        <v>810</v>
      </c>
      <c r="AF54" s="99">
        <f t="shared" si="65"/>
        <v>90</v>
      </c>
      <c r="AG54" s="99">
        <f t="shared" si="65"/>
        <v>1100</v>
      </c>
      <c r="AH54" s="99">
        <f t="shared" si="65"/>
        <v>20</v>
      </c>
      <c r="AI54" s="99">
        <f t="shared" si="65"/>
        <v>50</v>
      </c>
      <c r="AK54" s="103">
        <f t="shared" si="58"/>
        <v>1.0365435837358119</v>
      </c>
      <c r="AL54" s="103">
        <f t="shared" si="59"/>
        <v>1.0730596650228796</v>
      </c>
    </row>
    <row r="55" spans="1:39" s="108" customFormat="1" ht="14.4" x14ac:dyDescent="0.3">
      <c r="A55" s="104" t="s">
        <v>149</v>
      </c>
      <c r="B55" s="105" t="s">
        <v>125</v>
      </c>
      <c r="C55" s="99">
        <f t="shared" ref="C55:M59" si="66">C9+C32</f>
        <v>0</v>
      </c>
      <c r="D55" s="148">
        <f t="shared" si="66"/>
        <v>0</v>
      </c>
      <c r="E55" s="148">
        <f t="shared" ref="E55:F55" si="67">E9+E32</f>
        <v>0</v>
      </c>
      <c r="F55" s="148">
        <f t="shared" si="67"/>
        <v>0</v>
      </c>
      <c r="G55" s="148">
        <f t="shared" si="66"/>
        <v>0</v>
      </c>
      <c r="H55" s="148">
        <f t="shared" si="66"/>
        <v>0</v>
      </c>
      <c r="I55" s="148">
        <f t="shared" ref="I55:L55" si="68">I9+I32</f>
        <v>0</v>
      </c>
      <c r="J55" s="148">
        <f t="shared" si="68"/>
        <v>0</v>
      </c>
      <c r="K55" s="148">
        <f t="shared" si="68"/>
        <v>0</v>
      </c>
      <c r="L55" s="148">
        <f t="shared" si="68"/>
        <v>0</v>
      </c>
      <c r="M55" s="148">
        <f t="shared" si="66"/>
        <v>0</v>
      </c>
      <c r="O55" s="99">
        <f t="shared" ref="O55:P59" si="69">O9+O32</f>
        <v>0</v>
      </c>
      <c r="P55" s="148">
        <f t="shared" si="69"/>
        <v>0</v>
      </c>
      <c r="Q55" s="148">
        <f t="shared" ref="Q55:X55" si="70">Q9+Q32</f>
        <v>0</v>
      </c>
      <c r="R55" s="148">
        <f t="shared" si="70"/>
        <v>0</v>
      </c>
      <c r="S55" s="148">
        <f t="shared" si="70"/>
        <v>0</v>
      </c>
      <c r="T55" s="148">
        <f t="shared" si="70"/>
        <v>0</v>
      </c>
      <c r="U55" s="148">
        <f t="shared" si="70"/>
        <v>0</v>
      </c>
      <c r="V55" s="148">
        <f t="shared" si="70"/>
        <v>0</v>
      </c>
      <c r="W55" s="148">
        <f t="shared" si="70"/>
        <v>0</v>
      </c>
      <c r="X55" s="148">
        <f t="shared" si="70"/>
        <v>0</v>
      </c>
      <c r="Z55" s="99">
        <f t="shared" ref="Z55:Z59" si="71">Z9+Z32</f>
        <v>0</v>
      </c>
      <c r="AA55" s="99">
        <f t="shared" ref="AA55:AI55" si="72">AA9+AA32</f>
        <v>0</v>
      </c>
      <c r="AB55" s="99">
        <f t="shared" si="72"/>
        <v>0</v>
      </c>
      <c r="AC55" s="99">
        <f t="shared" si="72"/>
        <v>0</v>
      </c>
      <c r="AD55" s="99">
        <f t="shared" si="72"/>
        <v>0</v>
      </c>
      <c r="AE55" s="99">
        <f t="shared" si="72"/>
        <v>0</v>
      </c>
      <c r="AF55" s="99">
        <f t="shared" si="72"/>
        <v>0</v>
      </c>
      <c r="AG55" s="99">
        <f t="shared" si="72"/>
        <v>0</v>
      </c>
      <c r="AH55" s="99">
        <f t="shared" si="72"/>
        <v>0</v>
      </c>
      <c r="AI55" s="99">
        <f t="shared" si="72"/>
        <v>0</v>
      </c>
      <c r="AK55" s="109" t="e">
        <f t="shared" si="58"/>
        <v>#DIV/0!</v>
      </c>
      <c r="AL55" s="109" t="e">
        <f t="shared" si="59"/>
        <v>#DIV/0!</v>
      </c>
    </row>
    <row r="56" spans="1:39" s="113" customFormat="1" ht="14.4" x14ac:dyDescent="0.3">
      <c r="A56" s="110" t="s">
        <v>150</v>
      </c>
      <c r="B56" s="105" t="s">
        <v>126</v>
      </c>
      <c r="C56" s="99">
        <f t="shared" si="66"/>
        <v>12391.390000000001</v>
      </c>
      <c r="D56" s="148">
        <f>D10+D33</f>
        <v>7869.96</v>
      </c>
      <c r="E56" s="148">
        <f t="shared" ref="E56:F56" si="73">E10+E33</f>
        <v>711.56999999999994</v>
      </c>
      <c r="F56" s="148">
        <f t="shared" si="73"/>
        <v>2399.86</v>
      </c>
      <c r="G56" s="148">
        <f t="shared" si="66"/>
        <v>0</v>
      </c>
      <c r="H56" s="148">
        <f t="shared" si="66"/>
        <v>0</v>
      </c>
      <c r="I56" s="148">
        <f t="shared" si="66"/>
        <v>0</v>
      </c>
      <c r="J56" s="148">
        <f t="shared" si="66"/>
        <v>1400</v>
      </c>
      <c r="K56" s="148">
        <f t="shared" si="66"/>
        <v>0</v>
      </c>
      <c r="L56" s="148">
        <f t="shared" si="66"/>
        <v>0</v>
      </c>
      <c r="M56" s="148">
        <f t="shared" si="66"/>
        <v>10</v>
      </c>
      <c r="O56" s="99">
        <f t="shared" si="69"/>
        <v>15109</v>
      </c>
      <c r="P56" s="148">
        <f t="shared" si="69"/>
        <v>9400</v>
      </c>
      <c r="Q56" s="148">
        <f t="shared" ref="Q56:X56" si="74">Q10+Q33</f>
        <v>1332</v>
      </c>
      <c r="R56" s="148">
        <f t="shared" si="74"/>
        <v>2981</v>
      </c>
      <c r="S56" s="148">
        <f t="shared" si="74"/>
        <v>143</v>
      </c>
      <c r="T56" s="148">
        <f t="shared" si="74"/>
        <v>0</v>
      </c>
      <c r="U56" s="148">
        <f t="shared" si="74"/>
        <v>0</v>
      </c>
      <c r="V56" s="148">
        <f t="shared" si="74"/>
        <v>1253</v>
      </c>
      <c r="W56" s="148">
        <f t="shared" si="74"/>
        <v>0</v>
      </c>
      <c r="X56" s="148">
        <f t="shared" si="74"/>
        <v>0</v>
      </c>
      <c r="Z56" s="99">
        <f t="shared" si="71"/>
        <v>36396</v>
      </c>
      <c r="AA56" s="99">
        <f t="shared" ref="AA56:AI56" si="75">AA10+AA33</f>
        <v>22800</v>
      </c>
      <c r="AB56" s="99">
        <f t="shared" si="75"/>
        <v>3000</v>
      </c>
      <c r="AC56" s="99">
        <f t="shared" si="75"/>
        <v>5400</v>
      </c>
      <c r="AD56" s="99">
        <f t="shared" si="75"/>
        <v>290</v>
      </c>
      <c r="AE56" s="99">
        <f t="shared" si="75"/>
        <v>0</v>
      </c>
      <c r="AF56" s="99">
        <f t="shared" si="75"/>
        <v>278</v>
      </c>
      <c r="AG56" s="99">
        <f t="shared" si="75"/>
        <v>1663</v>
      </c>
      <c r="AH56" s="99">
        <f t="shared" si="75"/>
        <v>2965</v>
      </c>
      <c r="AI56" s="99">
        <f t="shared" si="75"/>
        <v>0</v>
      </c>
      <c r="AK56" s="109">
        <f t="shared" si="58"/>
        <v>1.2193143787742939</v>
      </c>
      <c r="AL56" s="109">
        <f t="shared" si="59"/>
        <v>2.4088953603812295</v>
      </c>
    </row>
    <row r="57" spans="1:39" s="113" customFormat="1" ht="14.4" x14ac:dyDescent="0.3">
      <c r="A57" s="110" t="s">
        <v>151</v>
      </c>
      <c r="B57" s="105" t="s">
        <v>96</v>
      </c>
      <c r="C57" s="99">
        <f t="shared" si="66"/>
        <v>0</v>
      </c>
      <c r="D57" s="148">
        <f t="shared" si="66"/>
        <v>0</v>
      </c>
      <c r="E57" s="148">
        <f t="shared" ref="E57:F57" si="76">E11+E34</f>
        <v>0</v>
      </c>
      <c r="F57" s="148">
        <f t="shared" si="76"/>
        <v>0</v>
      </c>
      <c r="G57" s="148">
        <f t="shared" si="66"/>
        <v>0</v>
      </c>
      <c r="H57" s="148">
        <f t="shared" si="66"/>
        <v>0</v>
      </c>
      <c r="I57" s="148">
        <f t="shared" ref="I57:L57" si="77">I11+I34</f>
        <v>0</v>
      </c>
      <c r="J57" s="148">
        <f t="shared" si="77"/>
        <v>0</v>
      </c>
      <c r="K57" s="148">
        <f t="shared" si="77"/>
        <v>0</v>
      </c>
      <c r="L57" s="148">
        <f t="shared" si="77"/>
        <v>0</v>
      </c>
      <c r="M57" s="148">
        <f t="shared" si="66"/>
        <v>0</v>
      </c>
      <c r="O57" s="99">
        <f t="shared" si="69"/>
        <v>0</v>
      </c>
      <c r="P57" s="148">
        <f t="shared" si="69"/>
        <v>0</v>
      </c>
      <c r="Q57" s="148">
        <f t="shared" ref="Q57:X57" si="78">Q11+Q34</f>
        <v>0</v>
      </c>
      <c r="R57" s="148">
        <f t="shared" si="78"/>
        <v>0</v>
      </c>
      <c r="S57" s="148">
        <f t="shared" si="78"/>
        <v>0</v>
      </c>
      <c r="T57" s="148">
        <f t="shared" si="78"/>
        <v>0</v>
      </c>
      <c r="U57" s="148">
        <f t="shared" si="78"/>
        <v>0</v>
      </c>
      <c r="V57" s="148">
        <f t="shared" si="78"/>
        <v>0</v>
      </c>
      <c r="W57" s="148">
        <f t="shared" si="78"/>
        <v>0</v>
      </c>
      <c r="X57" s="148">
        <f t="shared" si="78"/>
        <v>0</v>
      </c>
      <c r="Z57" s="99">
        <f t="shared" si="71"/>
        <v>0</v>
      </c>
      <c r="AA57" s="99">
        <f t="shared" ref="AA57:AI57" si="79">AA11+AA34</f>
        <v>0</v>
      </c>
      <c r="AB57" s="99">
        <f t="shared" si="79"/>
        <v>0</v>
      </c>
      <c r="AC57" s="99">
        <f t="shared" si="79"/>
        <v>0</v>
      </c>
      <c r="AD57" s="99">
        <f t="shared" si="79"/>
        <v>0</v>
      </c>
      <c r="AE57" s="99">
        <f t="shared" si="79"/>
        <v>0</v>
      </c>
      <c r="AF57" s="99">
        <f t="shared" si="79"/>
        <v>0</v>
      </c>
      <c r="AG57" s="99">
        <f t="shared" si="79"/>
        <v>0</v>
      </c>
      <c r="AH57" s="99">
        <f t="shared" si="79"/>
        <v>0</v>
      </c>
      <c r="AI57" s="99">
        <f t="shared" si="79"/>
        <v>0</v>
      </c>
      <c r="AK57" s="109" t="e">
        <f t="shared" si="58"/>
        <v>#DIV/0!</v>
      </c>
      <c r="AL57" s="109" t="e">
        <f t="shared" si="59"/>
        <v>#DIV/0!</v>
      </c>
    </row>
    <row r="58" spans="1:39" s="118" customFormat="1" ht="14.4" x14ac:dyDescent="0.3">
      <c r="A58" s="114" t="s">
        <v>152</v>
      </c>
      <c r="B58" s="115" t="s">
        <v>97</v>
      </c>
      <c r="C58" s="99">
        <f t="shared" si="66"/>
        <v>21.279999999999998</v>
      </c>
      <c r="D58" s="148">
        <f t="shared" si="66"/>
        <v>13.78</v>
      </c>
      <c r="E58" s="148">
        <f t="shared" ref="E58:F58" si="80">E12+E35</f>
        <v>2.34</v>
      </c>
      <c r="F58" s="148">
        <f t="shared" si="80"/>
        <v>3.57</v>
      </c>
      <c r="G58" s="148">
        <f t="shared" si="66"/>
        <v>0</v>
      </c>
      <c r="H58" s="148">
        <f t="shared" si="66"/>
        <v>1.43</v>
      </c>
      <c r="I58" s="148">
        <f t="shared" ref="I58:L58" si="81">I12+I35</f>
        <v>0.16</v>
      </c>
      <c r="J58" s="148">
        <f t="shared" si="81"/>
        <v>0</v>
      </c>
      <c r="K58" s="148">
        <f t="shared" si="81"/>
        <v>0</v>
      </c>
      <c r="L58" s="148">
        <f t="shared" si="81"/>
        <v>0</v>
      </c>
      <c r="M58" s="148">
        <f t="shared" si="66"/>
        <v>0</v>
      </c>
      <c r="O58" s="99">
        <f t="shared" si="69"/>
        <v>0</v>
      </c>
      <c r="P58" s="148">
        <f t="shared" si="69"/>
        <v>0</v>
      </c>
      <c r="Q58" s="148">
        <f t="shared" ref="Q58:X58" si="82">Q12+Q35</f>
        <v>0</v>
      </c>
      <c r="R58" s="148">
        <f t="shared" si="82"/>
        <v>0</v>
      </c>
      <c r="S58" s="148">
        <f t="shared" si="82"/>
        <v>0</v>
      </c>
      <c r="T58" s="148">
        <f t="shared" si="82"/>
        <v>0</v>
      </c>
      <c r="U58" s="148">
        <f t="shared" si="82"/>
        <v>0</v>
      </c>
      <c r="V58" s="148">
        <f t="shared" si="82"/>
        <v>0</v>
      </c>
      <c r="W58" s="148">
        <f t="shared" si="82"/>
        <v>0</v>
      </c>
      <c r="X58" s="148">
        <f t="shared" si="82"/>
        <v>0</v>
      </c>
      <c r="Z58" s="99">
        <f t="shared" si="71"/>
        <v>0</v>
      </c>
      <c r="AA58" s="99">
        <f t="shared" ref="AA58:AI58" si="83">AA12+AA35</f>
        <v>0</v>
      </c>
      <c r="AB58" s="99">
        <f t="shared" si="83"/>
        <v>0</v>
      </c>
      <c r="AC58" s="99">
        <f t="shared" si="83"/>
        <v>0</v>
      </c>
      <c r="AD58" s="99">
        <f t="shared" si="83"/>
        <v>0</v>
      </c>
      <c r="AE58" s="99">
        <f t="shared" si="83"/>
        <v>0</v>
      </c>
      <c r="AF58" s="99">
        <f t="shared" si="83"/>
        <v>0</v>
      </c>
      <c r="AG58" s="99">
        <f t="shared" si="83"/>
        <v>0</v>
      </c>
      <c r="AH58" s="99">
        <f t="shared" si="83"/>
        <v>0</v>
      </c>
      <c r="AI58" s="99">
        <f t="shared" si="83"/>
        <v>0</v>
      </c>
      <c r="AK58" s="109">
        <f t="shared" si="58"/>
        <v>0</v>
      </c>
      <c r="AL58" s="109" t="e">
        <f t="shared" si="59"/>
        <v>#DIV/0!</v>
      </c>
    </row>
    <row r="59" spans="1:39" s="118" customFormat="1" ht="14.4" x14ac:dyDescent="0.3">
      <c r="A59" s="110" t="s">
        <v>153</v>
      </c>
      <c r="B59" s="98" t="s">
        <v>3</v>
      </c>
      <c r="C59" s="99">
        <f t="shared" si="66"/>
        <v>1013.9200000000001</v>
      </c>
      <c r="D59" s="148">
        <f t="shared" si="66"/>
        <v>577.74</v>
      </c>
      <c r="E59" s="148">
        <f t="shared" ref="E59:F59" si="84">E13+E36</f>
        <v>51.220000000000006</v>
      </c>
      <c r="F59" s="148">
        <f t="shared" si="84"/>
        <v>199.5</v>
      </c>
      <c r="G59" s="148">
        <f t="shared" si="66"/>
        <v>5.71</v>
      </c>
      <c r="H59" s="148">
        <f t="shared" si="66"/>
        <v>7.3000000000000007</v>
      </c>
      <c r="I59" s="148">
        <f t="shared" ref="I59:L59" si="85">I13+I36</f>
        <v>10.98</v>
      </c>
      <c r="J59" s="148">
        <f t="shared" si="85"/>
        <v>45.649999999999991</v>
      </c>
      <c r="K59" s="148">
        <f t="shared" si="85"/>
        <v>3.53</v>
      </c>
      <c r="L59" s="148">
        <f t="shared" si="85"/>
        <v>0.19</v>
      </c>
      <c r="M59" s="148">
        <f t="shared" si="66"/>
        <v>112.1</v>
      </c>
      <c r="O59" s="99">
        <f t="shared" si="69"/>
        <v>1271</v>
      </c>
      <c r="P59" s="148">
        <f t="shared" si="69"/>
        <v>700</v>
      </c>
      <c r="Q59" s="148">
        <f t="shared" ref="Q59:X59" si="86">Q13+Q36</f>
        <v>200</v>
      </c>
      <c r="R59" s="148">
        <f t="shared" si="86"/>
        <v>180</v>
      </c>
      <c r="S59" s="148">
        <f t="shared" si="86"/>
        <v>0</v>
      </c>
      <c r="T59" s="148">
        <f t="shared" si="86"/>
        <v>1</v>
      </c>
      <c r="U59" s="148">
        <f t="shared" si="86"/>
        <v>6</v>
      </c>
      <c r="V59" s="148">
        <f t="shared" si="86"/>
        <v>40</v>
      </c>
      <c r="W59" s="148">
        <f t="shared" si="86"/>
        <v>28</v>
      </c>
      <c r="X59" s="148">
        <f t="shared" si="86"/>
        <v>116</v>
      </c>
      <c r="Z59" s="99">
        <f t="shared" si="71"/>
        <v>154</v>
      </c>
      <c r="AA59" s="99">
        <f t="shared" ref="AA59:AI59" si="87">AA13+AA36</f>
        <v>25</v>
      </c>
      <c r="AB59" s="99">
        <f t="shared" si="87"/>
        <v>5</v>
      </c>
      <c r="AC59" s="99">
        <f t="shared" si="87"/>
        <v>1</v>
      </c>
      <c r="AD59" s="99">
        <f t="shared" si="87"/>
        <v>0</v>
      </c>
      <c r="AE59" s="99">
        <f t="shared" si="87"/>
        <v>1</v>
      </c>
      <c r="AF59" s="99">
        <f t="shared" si="87"/>
        <v>0</v>
      </c>
      <c r="AG59" s="99">
        <f t="shared" si="87"/>
        <v>2</v>
      </c>
      <c r="AH59" s="99">
        <f t="shared" si="87"/>
        <v>0</v>
      </c>
      <c r="AI59" s="99">
        <f t="shared" si="87"/>
        <v>120</v>
      </c>
      <c r="AK59" s="109">
        <f t="shared" si="58"/>
        <v>1.253550575982326</v>
      </c>
      <c r="AL59" s="109">
        <f t="shared" si="59"/>
        <v>0.12116443745082613</v>
      </c>
    </row>
    <row r="60" spans="1:39" s="118" customFormat="1" ht="15.6" x14ac:dyDescent="0.3">
      <c r="A60" s="185" t="s">
        <v>154</v>
      </c>
      <c r="B60" s="185"/>
      <c r="C60" s="119">
        <f>SUM(C61:C69)</f>
        <v>88273.48000000001</v>
      </c>
      <c r="D60" s="119">
        <f>SUM(D61:D69)</f>
        <v>48119.67</v>
      </c>
      <c r="E60" s="119">
        <f t="shared" ref="E60:F60" si="88">SUM(E61:E69)</f>
        <v>15808.77</v>
      </c>
      <c r="F60" s="119">
        <f t="shared" si="88"/>
        <v>13652.080000000002</v>
      </c>
      <c r="G60" s="119">
        <f>SUM(G61:G69)</f>
        <v>1117.72</v>
      </c>
      <c r="H60" s="119">
        <f>SUM(H61:H69)</f>
        <v>1876.24</v>
      </c>
      <c r="I60" s="119">
        <f t="shared" ref="I60:L60" si="89">SUM(I61:I69)</f>
        <v>1006.16</v>
      </c>
      <c r="J60" s="119">
        <f t="shared" si="89"/>
        <v>4385.04</v>
      </c>
      <c r="K60" s="119">
        <f t="shared" si="89"/>
        <v>1687.39</v>
      </c>
      <c r="L60" s="119">
        <f t="shared" si="89"/>
        <v>137.28</v>
      </c>
      <c r="M60" s="119">
        <f>SUM(M61:M69)</f>
        <v>483.13</v>
      </c>
      <c r="N60" s="120"/>
      <c r="O60" s="119">
        <f>SUM(O61:O69)</f>
        <v>91384</v>
      </c>
      <c r="P60" s="119">
        <f>SUM(P61:P69)</f>
        <v>50244</v>
      </c>
      <c r="Q60" s="119">
        <f t="shared" ref="Q60:X60" si="90">SUM(Q61:Q69)</f>
        <v>16778</v>
      </c>
      <c r="R60" s="119">
        <f t="shared" si="90"/>
        <v>13066</v>
      </c>
      <c r="S60" s="119">
        <f t="shared" si="90"/>
        <v>1286</v>
      </c>
      <c r="T60" s="119">
        <f t="shared" si="90"/>
        <v>2008</v>
      </c>
      <c r="U60" s="119">
        <f t="shared" si="90"/>
        <v>1140</v>
      </c>
      <c r="V60" s="119">
        <f t="shared" si="90"/>
        <v>4592</v>
      </c>
      <c r="W60" s="119">
        <f t="shared" si="90"/>
        <v>1847</v>
      </c>
      <c r="X60" s="119">
        <f t="shared" si="90"/>
        <v>423</v>
      </c>
      <c r="Y60" s="120"/>
      <c r="Z60" s="119">
        <f>SUM(Z61:Z69)</f>
        <v>105857</v>
      </c>
      <c r="AA60" s="119">
        <f t="shared" ref="AA60:AI60" si="91">SUM(AA61:AA69)</f>
        <v>56942</v>
      </c>
      <c r="AB60" s="119">
        <f t="shared" si="91"/>
        <v>18032</v>
      </c>
      <c r="AC60" s="119">
        <f t="shared" si="91"/>
        <v>14841</v>
      </c>
      <c r="AD60" s="119">
        <f t="shared" si="91"/>
        <v>1478</v>
      </c>
      <c r="AE60" s="119">
        <f t="shared" si="91"/>
        <v>4187</v>
      </c>
      <c r="AF60" s="119">
        <f t="shared" si="91"/>
        <v>684</v>
      </c>
      <c r="AG60" s="119">
        <f t="shared" si="91"/>
        <v>5809</v>
      </c>
      <c r="AH60" s="119">
        <f t="shared" si="91"/>
        <v>3449</v>
      </c>
      <c r="AI60" s="119">
        <f t="shared" si="91"/>
        <v>435</v>
      </c>
      <c r="AJ60" s="120"/>
      <c r="AK60" s="121">
        <f t="shared" si="58"/>
        <v>1.0352373102317931</v>
      </c>
      <c r="AL60" s="121">
        <f t="shared" si="59"/>
        <v>1.1583756456272434</v>
      </c>
      <c r="AM60" s="120"/>
    </row>
    <row r="61" spans="1:39" s="118" customFormat="1" ht="14.4" x14ac:dyDescent="0.3">
      <c r="A61" s="110" t="s">
        <v>155</v>
      </c>
      <c r="B61" s="98" t="s">
        <v>11</v>
      </c>
      <c r="C61" s="99">
        <f>C15+C38</f>
        <v>1199.0500000000002</v>
      </c>
      <c r="D61" s="149">
        <f t="shared" ref="D61:M61" si="92">D15+D38</f>
        <v>845.62</v>
      </c>
      <c r="E61" s="149">
        <f t="shared" ref="E61:F61" si="93">E15+E38</f>
        <v>238.53</v>
      </c>
      <c r="F61" s="149">
        <f t="shared" si="93"/>
        <v>27.73</v>
      </c>
      <c r="G61" s="149">
        <f t="shared" si="92"/>
        <v>0</v>
      </c>
      <c r="H61" s="149">
        <f t="shared" si="92"/>
        <v>0</v>
      </c>
      <c r="I61" s="149">
        <f t="shared" ref="I61:L61" si="94">I15+I38</f>
        <v>0</v>
      </c>
      <c r="J61" s="149">
        <f t="shared" si="94"/>
        <v>1.95</v>
      </c>
      <c r="K61" s="149">
        <f t="shared" si="94"/>
        <v>0</v>
      </c>
      <c r="L61" s="149">
        <f t="shared" si="94"/>
        <v>0</v>
      </c>
      <c r="M61" s="149">
        <f t="shared" si="92"/>
        <v>85.22</v>
      </c>
      <c r="O61" s="99">
        <f>O15+O38</f>
        <v>480</v>
      </c>
      <c r="P61" s="148">
        <f t="shared" ref="P61" si="95">P15+P38</f>
        <v>150</v>
      </c>
      <c r="Q61" s="148">
        <f t="shared" ref="Q61:X61" si="96">Q15+Q38</f>
        <v>230</v>
      </c>
      <c r="R61" s="148">
        <f t="shared" si="96"/>
        <v>10</v>
      </c>
      <c r="S61" s="148">
        <f t="shared" si="96"/>
        <v>0</v>
      </c>
      <c r="T61" s="148">
        <f t="shared" si="96"/>
        <v>0</v>
      </c>
      <c r="U61" s="148">
        <f t="shared" si="96"/>
        <v>0</v>
      </c>
      <c r="V61" s="148">
        <f t="shared" si="96"/>
        <v>50</v>
      </c>
      <c r="W61" s="148">
        <f t="shared" si="96"/>
        <v>0</v>
      </c>
      <c r="X61" s="148">
        <f t="shared" si="96"/>
        <v>40</v>
      </c>
      <c r="Z61" s="99">
        <f>Z15+Z38</f>
        <v>883</v>
      </c>
      <c r="AA61" s="99">
        <f t="shared" ref="AA61:AI61" si="97">AA15+AA38</f>
        <v>290</v>
      </c>
      <c r="AB61" s="99">
        <f t="shared" si="97"/>
        <v>235</v>
      </c>
      <c r="AC61" s="99">
        <f t="shared" si="97"/>
        <v>130</v>
      </c>
      <c r="AD61" s="99">
        <f t="shared" si="97"/>
        <v>81</v>
      </c>
      <c r="AE61" s="99">
        <f t="shared" si="97"/>
        <v>20</v>
      </c>
      <c r="AF61" s="99">
        <f t="shared" si="97"/>
        <v>1</v>
      </c>
      <c r="AG61" s="99">
        <f t="shared" si="97"/>
        <v>65</v>
      </c>
      <c r="AH61" s="99">
        <f t="shared" si="97"/>
        <v>21</v>
      </c>
      <c r="AI61" s="99">
        <f t="shared" si="97"/>
        <v>40</v>
      </c>
      <c r="AK61" s="109">
        <f t="shared" si="58"/>
        <v>0.40031691755973475</v>
      </c>
      <c r="AL61" s="109">
        <f t="shared" si="59"/>
        <v>1.8395833333333333</v>
      </c>
    </row>
    <row r="62" spans="1:39" s="118" customFormat="1" ht="14.4" x14ac:dyDescent="0.3">
      <c r="A62" s="110" t="s">
        <v>156</v>
      </c>
      <c r="B62" s="98" t="s">
        <v>13</v>
      </c>
      <c r="C62" s="99">
        <f>C16+C39</f>
        <v>11172.97</v>
      </c>
      <c r="D62" s="149">
        <f t="shared" ref="C62:M69" si="98">D16+D39</f>
        <v>6400</v>
      </c>
      <c r="E62" s="149">
        <f t="shared" ref="E62:F62" si="99">E16+E39</f>
        <v>2935.24</v>
      </c>
      <c r="F62" s="149">
        <f t="shared" si="99"/>
        <v>1281.79</v>
      </c>
      <c r="G62" s="149">
        <f t="shared" si="98"/>
        <v>110</v>
      </c>
      <c r="H62" s="149">
        <f t="shared" si="98"/>
        <v>180.86</v>
      </c>
      <c r="I62" s="149">
        <f t="shared" ref="I62:L62" si="100">I16+I39</f>
        <v>46.65</v>
      </c>
      <c r="J62" s="149">
        <f t="shared" si="100"/>
        <v>127.56</v>
      </c>
      <c r="K62" s="149">
        <f t="shared" si="100"/>
        <v>5.54</v>
      </c>
      <c r="L62" s="149">
        <f t="shared" si="100"/>
        <v>2.1</v>
      </c>
      <c r="M62" s="149">
        <f t="shared" si="98"/>
        <v>83.23</v>
      </c>
      <c r="O62" s="99">
        <f t="shared" ref="O62:P69" si="101">O16+O39</f>
        <v>11735</v>
      </c>
      <c r="P62" s="148">
        <f t="shared" si="101"/>
        <v>6700</v>
      </c>
      <c r="Q62" s="148">
        <f t="shared" ref="Q62:X62" si="102">Q16+Q39</f>
        <v>2938</v>
      </c>
      <c r="R62" s="148">
        <f t="shared" si="102"/>
        <v>1342</v>
      </c>
      <c r="S62" s="148">
        <f t="shared" si="102"/>
        <v>132</v>
      </c>
      <c r="T62" s="148">
        <f t="shared" si="102"/>
        <v>235</v>
      </c>
      <c r="U62" s="148">
        <f t="shared" si="102"/>
        <v>70</v>
      </c>
      <c r="V62" s="148">
        <f t="shared" si="102"/>
        <v>203</v>
      </c>
      <c r="W62" s="148">
        <f t="shared" si="102"/>
        <v>25</v>
      </c>
      <c r="X62" s="148">
        <f t="shared" si="102"/>
        <v>90</v>
      </c>
      <c r="Z62" s="99">
        <f t="shared" ref="Z62:Z69" si="103">Z16+Z39</f>
        <v>12967</v>
      </c>
      <c r="AA62" s="99">
        <f t="shared" ref="AA62:AI62" si="104">AA16+AA39</f>
        <v>7023</v>
      </c>
      <c r="AB62" s="99">
        <f t="shared" si="104"/>
        <v>3073</v>
      </c>
      <c r="AC62" s="99">
        <f t="shared" si="104"/>
        <v>1461</v>
      </c>
      <c r="AD62" s="99">
        <f t="shared" si="104"/>
        <v>132</v>
      </c>
      <c r="AE62" s="99">
        <f t="shared" si="104"/>
        <v>779</v>
      </c>
      <c r="AF62" s="99">
        <f t="shared" si="104"/>
        <v>19</v>
      </c>
      <c r="AG62" s="99">
        <f t="shared" si="104"/>
        <v>283</v>
      </c>
      <c r="AH62" s="99">
        <f t="shared" si="104"/>
        <v>95</v>
      </c>
      <c r="AI62" s="99">
        <f t="shared" si="104"/>
        <v>102</v>
      </c>
      <c r="AK62" s="109">
        <f t="shared" si="58"/>
        <v>1.0503026500563415</v>
      </c>
      <c r="AL62" s="109">
        <f t="shared" si="59"/>
        <v>1.1049850873455476</v>
      </c>
    </row>
    <row r="63" spans="1:39" s="118" customFormat="1" ht="14.4" x14ac:dyDescent="0.3">
      <c r="A63" s="110" t="s">
        <v>157</v>
      </c>
      <c r="B63" s="98" t="s">
        <v>15</v>
      </c>
      <c r="C63" s="99">
        <f t="shared" si="98"/>
        <v>7512.0000000000009</v>
      </c>
      <c r="D63" s="149">
        <f t="shared" si="98"/>
        <v>4582.3</v>
      </c>
      <c r="E63" s="149">
        <f t="shared" ref="E63:F63" si="105">E17+E40</f>
        <v>1552.01</v>
      </c>
      <c r="F63" s="149">
        <f t="shared" si="105"/>
        <v>601.16</v>
      </c>
      <c r="G63" s="149">
        <f t="shared" si="98"/>
        <v>57.14</v>
      </c>
      <c r="H63" s="149">
        <f t="shared" si="98"/>
        <v>85</v>
      </c>
      <c r="I63" s="149">
        <f t="shared" ref="I63:L63" si="106">I17+I40</f>
        <v>62.14</v>
      </c>
      <c r="J63" s="149">
        <f t="shared" si="106"/>
        <v>480.61</v>
      </c>
      <c r="K63" s="149">
        <f t="shared" si="106"/>
        <v>91.64</v>
      </c>
      <c r="L63" s="149">
        <f t="shared" si="106"/>
        <v>0</v>
      </c>
      <c r="M63" s="149">
        <f t="shared" si="98"/>
        <v>0</v>
      </c>
      <c r="O63" s="99">
        <f t="shared" si="101"/>
        <v>7900</v>
      </c>
      <c r="P63" s="148">
        <f t="shared" si="101"/>
        <v>4600</v>
      </c>
      <c r="Q63" s="148">
        <f t="shared" ref="Q63:X63" si="107">Q17+Q40</f>
        <v>1790</v>
      </c>
      <c r="R63" s="148">
        <f t="shared" si="107"/>
        <v>750</v>
      </c>
      <c r="S63" s="148">
        <f t="shared" si="107"/>
        <v>85</v>
      </c>
      <c r="T63" s="148">
        <f t="shared" si="107"/>
        <v>80</v>
      </c>
      <c r="U63" s="148">
        <f t="shared" si="107"/>
        <v>75</v>
      </c>
      <c r="V63" s="148">
        <f t="shared" si="107"/>
        <v>430</v>
      </c>
      <c r="W63" s="148">
        <f t="shared" si="107"/>
        <v>90</v>
      </c>
      <c r="X63" s="148">
        <f t="shared" si="107"/>
        <v>0</v>
      </c>
      <c r="Z63" s="99">
        <f t="shared" si="103"/>
        <v>8970</v>
      </c>
      <c r="AA63" s="99">
        <f t="shared" ref="AA63:AI63" si="108">AA17+AA40</f>
        <v>5000</v>
      </c>
      <c r="AB63" s="99">
        <f t="shared" si="108"/>
        <v>1840</v>
      </c>
      <c r="AC63" s="99">
        <f t="shared" si="108"/>
        <v>800</v>
      </c>
      <c r="AD63" s="99">
        <f t="shared" si="108"/>
        <v>85</v>
      </c>
      <c r="AE63" s="99">
        <f t="shared" si="108"/>
        <v>520</v>
      </c>
      <c r="AF63" s="99">
        <f t="shared" si="108"/>
        <v>30</v>
      </c>
      <c r="AG63" s="99">
        <f t="shared" si="108"/>
        <v>460</v>
      </c>
      <c r="AH63" s="99">
        <f t="shared" si="108"/>
        <v>235</v>
      </c>
      <c r="AI63" s="99">
        <f t="shared" si="108"/>
        <v>0</v>
      </c>
      <c r="AK63" s="109">
        <f t="shared" si="58"/>
        <v>1.051650692225772</v>
      </c>
      <c r="AL63" s="109">
        <f t="shared" si="59"/>
        <v>1.1354430379746836</v>
      </c>
    </row>
    <row r="64" spans="1:39" s="118" customFormat="1" ht="14.4" x14ac:dyDescent="0.3">
      <c r="A64" s="110" t="s">
        <v>158</v>
      </c>
      <c r="B64" s="98" t="s">
        <v>17</v>
      </c>
      <c r="C64" s="99">
        <f t="shared" si="98"/>
        <v>3298.48</v>
      </c>
      <c r="D64" s="149">
        <f t="shared" si="98"/>
        <v>1524.2</v>
      </c>
      <c r="E64" s="149">
        <f t="shared" ref="E64:F64" si="109">E18+E41</f>
        <v>370.88</v>
      </c>
      <c r="F64" s="149">
        <f t="shared" si="109"/>
        <v>791.4</v>
      </c>
      <c r="G64" s="149">
        <f t="shared" si="98"/>
        <v>2.42</v>
      </c>
      <c r="H64" s="149">
        <f t="shared" si="98"/>
        <v>13.68</v>
      </c>
      <c r="I64" s="149">
        <f t="shared" ref="I64:L64" si="110">I18+I41</f>
        <v>1.17</v>
      </c>
      <c r="J64" s="149">
        <f t="shared" si="110"/>
        <v>162.56</v>
      </c>
      <c r="K64" s="149">
        <f t="shared" si="110"/>
        <v>265.61</v>
      </c>
      <c r="L64" s="149">
        <f t="shared" si="110"/>
        <v>40.1</v>
      </c>
      <c r="M64" s="149">
        <f t="shared" si="98"/>
        <v>126.46</v>
      </c>
      <c r="O64" s="99">
        <f t="shared" si="101"/>
        <v>4718</v>
      </c>
      <c r="P64" s="148">
        <f t="shared" si="101"/>
        <v>2348</v>
      </c>
      <c r="Q64" s="148">
        <f t="shared" ref="Q64:X64" si="111">Q18+Q41</f>
        <v>729</v>
      </c>
      <c r="R64" s="148">
        <f t="shared" si="111"/>
        <v>913</v>
      </c>
      <c r="S64" s="148">
        <f t="shared" si="111"/>
        <v>9</v>
      </c>
      <c r="T64" s="148">
        <f t="shared" si="111"/>
        <v>12</v>
      </c>
      <c r="U64" s="148">
        <f t="shared" si="111"/>
        <v>2</v>
      </c>
      <c r="V64" s="148">
        <f t="shared" si="111"/>
        <v>266</v>
      </c>
      <c r="W64" s="148">
        <f t="shared" si="111"/>
        <v>334</v>
      </c>
      <c r="X64" s="148">
        <f t="shared" si="111"/>
        <v>105</v>
      </c>
      <c r="Z64" s="99">
        <f t="shared" si="103"/>
        <v>5264</v>
      </c>
      <c r="AA64" s="99">
        <f t="shared" ref="AA64:AI64" si="112">AA18+AA41</f>
        <v>2293</v>
      </c>
      <c r="AB64" s="99">
        <f t="shared" si="112"/>
        <v>627</v>
      </c>
      <c r="AC64" s="99">
        <f t="shared" si="112"/>
        <v>1050</v>
      </c>
      <c r="AD64" s="99">
        <f t="shared" si="112"/>
        <v>14</v>
      </c>
      <c r="AE64" s="99">
        <f t="shared" si="112"/>
        <v>467</v>
      </c>
      <c r="AF64" s="99">
        <f t="shared" si="112"/>
        <v>3</v>
      </c>
      <c r="AG64" s="99">
        <f t="shared" si="112"/>
        <v>308</v>
      </c>
      <c r="AH64" s="99">
        <f t="shared" si="112"/>
        <v>438</v>
      </c>
      <c r="AI64" s="99">
        <f t="shared" si="112"/>
        <v>64</v>
      </c>
      <c r="AK64" s="109">
        <f t="shared" si="58"/>
        <v>1.4303558002473866</v>
      </c>
      <c r="AL64" s="109">
        <f t="shared" si="59"/>
        <v>1.1157270029673592</v>
      </c>
    </row>
    <row r="65" spans="1:39" s="118" customFormat="1" ht="14.4" x14ac:dyDescent="0.3">
      <c r="A65" s="114" t="s">
        <v>159</v>
      </c>
      <c r="B65" s="98" t="s">
        <v>19</v>
      </c>
      <c r="C65" s="99">
        <f t="shared" si="98"/>
        <v>43131.659999999996</v>
      </c>
      <c r="D65" s="149">
        <f t="shared" si="98"/>
        <v>22985.3</v>
      </c>
      <c r="E65" s="149">
        <f t="shared" ref="E65:F65" si="113">E19+E42</f>
        <v>7229.92</v>
      </c>
      <c r="F65" s="149">
        <f t="shared" si="113"/>
        <v>7276.03</v>
      </c>
      <c r="G65" s="149">
        <f t="shared" si="98"/>
        <v>677.03</v>
      </c>
      <c r="H65" s="149">
        <f t="shared" si="98"/>
        <v>952.58</v>
      </c>
      <c r="I65" s="149">
        <f t="shared" ref="I65:L65" si="114">I19+I42</f>
        <v>642.59</v>
      </c>
      <c r="J65" s="149">
        <f t="shared" si="114"/>
        <v>2245.81</v>
      </c>
      <c r="K65" s="149">
        <f t="shared" si="114"/>
        <v>931</v>
      </c>
      <c r="L65" s="149">
        <f t="shared" si="114"/>
        <v>69.900000000000006</v>
      </c>
      <c r="M65" s="149">
        <f t="shared" si="98"/>
        <v>121.5</v>
      </c>
      <c r="O65" s="99">
        <f t="shared" si="101"/>
        <v>43640</v>
      </c>
      <c r="P65" s="148">
        <f t="shared" si="101"/>
        <v>24300</v>
      </c>
      <c r="Q65" s="148">
        <f t="shared" ref="Q65:X65" si="115">Q19+Q42</f>
        <v>7300</v>
      </c>
      <c r="R65" s="148">
        <f t="shared" si="115"/>
        <v>6500</v>
      </c>
      <c r="S65" s="148">
        <f t="shared" si="115"/>
        <v>710</v>
      </c>
      <c r="T65" s="148">
        <f t="shared" si="115"/>
        <v>940</v>
      </c>
      <c r="U65" s="148">
        <f t="shared" si="115"/>
        <v>670</v>
      </c>
      <c r="V65" s="148">
        <f t="shared" si="115"/>
        <v>2200</v>
      </c>
      <c r="W65" s="148">
        <f t="shared" si="115"/>
        <v>900</v>
      </c>
      <c r="X65" s="148">
        <f t="shared" si="115"/>
        <v>120</v>
      </c>
      <c r="Z65" s="99">
        <f t="shared" si="103"/>
        <v>54833</v>
      </c>
      <c r="AA65" s="99">
        <f t="shared" ref="AA65:AI65" si="116">AA19+AA42</f>
        <v>30104</v>
      </c>
      <c r="AB65" s="99">
        <f t="shared" si="116"/>
        <v>8587</v>
      </c>
      <c r="AC65" s="99">
        <f t="shared" si="116"/>
        <v>7865</v>
      </c>
      <c r="AD65" s="99">
        <f t="shared" si="116"/>
        <v>826</v>
      </c>
      <c r="AE65" s="99">
        <f t="shared" si="116"/>
        <v>1678</v>
      </c>
      <c r="AF65" s="99">
        <f t="shared" si="116"/>
        <v>460</v>
      </c>
      <c r="AG65" s="99">
        <f t="shared" si="116"/>
        <v>3224</v>
      </c>
      <c r="AH65" s="99">
        <f t="shared" si="116"/>
        <v>1939</v>
      </c>
      <c r="AI65" s="99">
        <f t="shared" si="116"/>
        <v>150</v>
      </c>
      <c r="AK65" s="109">
        <f t="shared" si="58"/>
        <v>1.0117857740694423</v>
      </c>
      <c r="AL65" s="109">
        <f t="shared" si="59"/>
        <v>1.2564848762603116</v>
      </c>
    </row>
    <row r="66" spans="1:39" s="118" customFormat="1" ht="14.4" x14ac:dyDescent="0.3">
      <c r="A66" s="114" t="s">
        <v>160</v>
      </c>
      <c r="B66" s="98" t="s">
        <v>24</v>
      </c>
      <c r="C66" s="99">
        <f t="shared" si="98"/>
        <v>14453.050000000003</v>
      </c>
      <c r="D66" s="149">
        <f t="shared" si="98"/>
        <v>7696.83</v>
      </c>
      <c r="E66" s="149">
        <f t="shared" ref="E66:F66" si="117">E20+E43</f>
        <v>2418.71</v>
      </c>
      <c r="F66" s="149">
        <f t="shared" si="117"/>
        <v>2444.4299999999998</v>
      </c>
      <c r="G66" s="149">
        <f t="shared" si="98"/>
        <v>227.16</v>
      </c>
      <c r="H66" s="149">
        <f t="shared" si="98"/>
        <v>322.33999999999997</v>
      </c>
      <c r="I66" s="149">
        <f t="shared" ref="I66:L66" si="118">I20+I43</f>
        <v>217.68</v>
      </c>
      <c r="J66" s="149">
        <f t="shared" si="118"/>
        <v>759.12</v>
      </c>
      <c r="K66" s="149">
        <f t="shared" si="118"/>
        <v>301.7</v>
      </c>
      <c r="L66" s="149">
        <f t="shared" si="118"/>
        <v>23.77</v>
      </c>
      <c r="M66" s="149">
        <f t="shared" si="98"/>
        <v>41.31</v>
      </c>
      <c r="O66" s="99">
        <f t="shared" si="101"/>
        <v>14838</v>
      </c>
      <c r="P66" s="148">
        <f t="shared" si="101"/>
        <v>8262</v>
      </c>
      <c r="Q66" s="148">
        <f t="shared" ref="Q66:X66" si="119">Q20+Q43</f>
        <v>2482</v>
      </c>
      <c r="R66" s="148">
        <f t="shared" si="119"/>
        <v>2210</v>
      </c>
      <c r="S66" s="148">
        <f t="shared" si="119"/>
        <v>241</v>
      </c>
      <c r="T66" s="148">
        <f t="shared" si="119"/>
        <v>320</v>
      </c>
      <c r="U66" s="148">
        <f t="shared" si="119"/>
        <v>228</v>
      </c>
      <c r="V66" s="148">
        <f t="shared" si="119"/>
        <v>748</v>
      </c>
      <c r="W66" s="148">
        <f t="shared" si="119"/>
        <v>306</v>
      </c>
      <c r="X66" s="148">
        <f t="shared" si="119"/>
        <v>41</v>
      </c>
      <c r="Z66" s="99">
        <f t="shared" si="103"/>
        <v>18747</v>
      </c>
      <c r="AA66" s="99">
        <f t="shared" ref="AA66:AI66" si="120">AA20+AA43</f>
        <v>10236</v>
      </c>
      <c r="AB66" s="99">
        <f t="shared" si="120"/>
        <v>2920</v>
      </c>
      <c r="AC66" s="99">
        <f t="shared" si="120"/>
        <v>2674</v>
      </c>
      <c r="AD66" s="99">
        <f t="shared" si="120"/>
        <v>281</v>
      </c>
      <c r="AE66" s="99">
        <f t="shared" si="120"/>
        <v>572</v>
      </c>
      <c r="AF66" s="99">
        <f t="shared" si="120"/>
        <v>157</v>
      </c>
      <c r="AG66" s="99">
        <f t="shared" si="120"/>
        <v>1196</v>
      </c>
      <c r="AH66" s="99">
        <f t="shared" si="120"/>
        <v>660</v>
      </c>
      <c r="AI66" s="99">
        <f t="shared" si="120"/>
        <v>51</v>
      </c>
      <c r="AK66" s="109">
        <f t="shared" si="58"/>
        <v>1.0266345165899238</v>
      </c>
      <c r="AL66" s="109">
        <f t="shared" si="59"/>
        <v>1.2634452082490901</v>
      </c>
    </row>
    <row r="67" spans="1:39" s="118" customFormat="1" ht="14.4" x14ac:dyDescent="0.3">
      <c r="A67" s="124" t="s">
        <v>161</v>
      </c>
      <c r="B67" s="98" t="s">
        <v>26</v>
      </c>
      <c r="C67" s="99">
        <f t="shared" si="98"/>
        <v>0</v>
      </c>
      <c r="D67" s="149">
        <f t="shared" si="98"/>
        <v>0</v>
      </c>
      <c r="E67" s="149">
        <f t="shared" ref="E67:F67" si="121">E21+E44</f>
        <v>0</v>
      </c>
      <c r="F67" s="149">
        <f t="shared" si="121"/>
        <v>0</v>
      </c>
      <c r="G67" s="149">
        <f t="shared" si="98"/>
        <v>0</v>
      </c>
      <c r="H67" s="149">
        <f t="shared" si="98"/>
        <v>0</v>
      </c>
      <c r="I67" s="149">
        <f t="shared" ref="I67:L67" si="122">I21+I44</f>
        <v>0</v>
      </c>
      <c r="J67" s="149">
        <f t="shared" si="122"/>
        <v>0</v>
      </c>
      <c r="K67" s="149">
        <f t="shared" si="122"/>
        <v>0</v>
      </c>
      <c r="L67" s="149">
        <f t="shared" si="122"/>
        <v>0</v>
      </c>
      <c r="M67" s="149">
        <f t="shared" si="98"/>
        <v>0</v>
      </c>
      <c r="O67" s="99">
        <f t="shared" si="101"/>
        <v>1</v>
      </c>
      <c r="P67" s="148">
        <f t="shared" si="101"/>
        <v>0</v>
      </c>
      <c r="Q67" s="148">
        <f t="shared" ref="Q67:X67" si="123">Q21+Q44</f>
        <v>0</v>
      </c>
      <c r="R67" s="148">
        <f t="shared" si="123"/>
        <v>1</v>
      </c>
      <c r="S67" s="148">
        <f t="shared" si="123"/>
        <v>0</v>
      </c>
      <c r="T67" s="148">
        <f t="shared" si="123"/>
        <v>0</v>
      </c>
      <c r="U67" s="148">
        <f t="shared" si="123"/>
        <v>0</v>
      </c>
      <c r="V67" s="148">
        <f t="shared" si="123"/>
        <v>0</v>
      </c>
      <c r="W67" s="148">
        <f t="shared" si="123"/>
        <v>0</v>
      </c>
      <c r="X67" s="148">
        <f t="shared" si="123"/>
        <v>0</v>
      </c>
      <c r="Z67" s="99">
        <f t="shared" si="103"/>
        <v>2</v>
      </c>
      <c r="AA67" s="99">
        <f t="shared" ref="AA67:AI67" si="124">AA21+AA44</f>
        <v>1</v>
      </c>
      <c r="AB67" s="99">
        <f t="shared" si="124"/>
        <v>0</v>
      </c>
      <c r="AC67" s="99">
        <f t="shared" si="124"/>
        <v>1</v>
      </c>
      <c r="AD67" s="99">
        <f t="shared" si="124"/>
        <v>0</v>
      </c>
      <c r="AE67" s="99">
        <f t="shared" si="124"/>
        <v>0</v>
      </c>
      <c r="AF67" s="99">
        <f t="shared" si="124"/>
        <v>0</v>
      </c>
      <c r="AG67" s="99">
        <f t="shared" si="124"/>
        <v>0</v>
      </c>
      <c r="AH67" s="99">
        <f t="shared" si="124"/>
        <v>0</v>
      </c>
      <c r="AI67" s="99">
        <f t="shared" si="124"/>
        <v>0</v>
      </c>
      <c r="AK67" s="109" t="e">
        <f t="shared" si="58"/>
        <v>#DIV/0!</v>
      </c>
      <c r="AL67" s="109">
        <f t="shared" si="59"/>
        <v>2</v>
      </c>
    </row>
    <row r="68" spans="1:39" s="118" customFormat="1" ht="14.4" x14ac:dyDescent="0.3">
      <c r="A68" s="114" t="s">
        <v>162</v>
      </c>
      <c r="B68" s="125" t="s">
        <v>28</v>
      </c>
      <c r="C68" s="99">
        <f t="shared" si="98"/>
        <v>468.21999999999997</v>
      </c>
      <c r="D68" s="149">
        <f t="shared" si="98"/>
        <v>195.68</v>
      </c>
      <c r="E68" s="149">
        <f t="shared" ref="E68:F68" si="125">E22+E45</f>
        <v>101.96</v>
      </c>
      <c r="F68" s="149">
        <f t="shared" si="125"/>
        <v>134.12</v>
      </c>
      <c r="G68" s="149">
        <f t="shared" si="98"/>
        <v>0.67</v>
      </c>
      <c r="H68" s="149">
        <f t="shared" si="98"/>
        <v>8.0299999999999994</v>
      </c>
      <c r="I68" s="149">
        <f t="shared" ref="I68:L68" si="126">I22+I45</f>
        <v>0.67</v>
      </c>
      <c r="J68" s="149">
        <f t="shared" si="126"/>
        <v>13.38</v>
      </c>
      <c r="K68" s="149">
        <f t="shared" si="126"/>
        <v>13.71</v>
      </c>
      <c r="L68" s="149">
        <f t="shared" si="126"/>
        <v>0</v>
      </c>
      <c r="M68" s="149">
        <f t="shared" si="98"/>
        <v>0</v>
      </c>
      <c r="O68" s="99">
        <f t="shared" si="101"/>
        <v>446</v>
      </c>
      <c r="P68" s="148">
        <f t="shared" si="101"/>
        <v>191</v>
      </c>
      <c r="Q68" s="148">
        <f t="shared" ref="Q68:X68" si="127">Q22+Q45</f>
        <v>113</v>
      </c>
      <c r="R68" s="148">
        <f t="shared" si="127"/>
        <v>123</v>
      </c>
      <c r="S68" s="148">
        <f t="shared" si="127"/>
        <v>0</v>
      </c>
      <c r="T68" s="148">
        <f t="shared" si="127"/>
        <v>9</v>
      </c>
      <c r="U68" s="148">
        <f t="shared" si="127"/>
        <v>0</v>
      </c>
      <c r="V68" s="148">
        <f t="shared" si="127"/>
        <v>5</v>
      </c>
      <c r="W68" s="148">
        <f t="shared" si="127"/>
        <v>5</v>
      </c>
      <c r="X68" s="148">
        <f t="shared" si="127"/>
        <v>0</v>
      </c>
      <c r="Z68" s="99">
        <f t="shared" si="103"/>
        <v>619</v>
      </c>
      <c r="AA68" s="99">
        <f t="shared" ref="AA68:AI68" si="128">AA22+AA45</f>
        <v>239</v>
      </c>
      <c r="AB68" s="99">
        <f t="shared" si="128"/>
        <v>166</v>
      </c>
      <c r="AC68" s="99">
        <f t="shared" si="128"/>
        <v>148</v>
      </c>
      <c r="AD68" s="99">
        <f t="shared" si="128"/>
        <v>1</v>
      </c>
      <c r="AE68" s="99">
        <f t="shared" si="128"/>
        <v>16</v>
      </c>
      <c r="AF68" s="99">
        <f t="shared" si="128"/>
        <v>1</v>
      </c>
      <c r="AG68" s="99">
        <f t="shared" si="128"/>
        <v>47</v>
      </c>
      <c r="AH68" s="99">
        <f t="shared" si="128"/>
        <v>1</v>
      </c>
      <c r="AI68" s="99">
        <f t="shared" si="128"/>
        <v>0</v>
      </c>
      <c r="AK68" s="109">
        <f t="shared" si="58"/>
        <v>0.95254367604972023</v>
      </c>
      <c r="AL68" s="109">
        <f t="shared" si="59"/>
        <v>1.3878923766816142</v>
      </c>
    </row>
    <row r="69" spans="1:39" s="120" customFormat="1" ht="14.4" x14ac:dyDescent="0.3">
      <c r="A69" s="110" t="s">
        <v>163</v>
      </c>
      <c r="B69" s="125" t="s">
        <v>30</v>
      </c>
      <c r="C69" s="99">
        <f t="shared" si="98"/>
        <v>7038.05</v>
      </c>
      <c r="D69" s="149">
        <f t="shared" si="98"/>
        <v>3889.7400000000002</v>
      </c>
      <c r="E69" s="149">
        <f t="shared" ref="E69:F69" si="129">E23+E46</f>
        <v>961.52</v>
      </c>
      <c r="F69" s="149">
        <f t="shared" si="129"/>
        <v>1095.42</v>
      </c>
      <c r="G69" s="149">
        <f t="shared" si="98"/>
        <v>43.3</v>
      </c>
      <c r="H69" s="149">
        <f t="shared" si="98"/>
        <v>313.75</v>
      </c>
      <c r="I69" s="149">
        <f t="shared" ref="I69:L69" si="130">I23+I46</f>
        <v>35.26</v>
      </c>
      <c r="J69" s="149">
        <f t="shared" si="130"/>
        <v>594.04999999999995</v>
      </c>
      <c r="K69" s="149">
        <f t="shared" si="130"/>
        <v>78.19</v>
      </c>
      <c r="L69" s="149">
        <f t="shared" si="130"/>
        <v>1.41</v>
      </c>
      <c r="M69" s="149">
        <f t="shared" si="98"/>
        <v>25.41</v>
      </c>
      <c r="N69" s="118"/>
      <c r="O69" s="99">
        <f t="shared" si="101"/>
        <v>7626</v>
      </c>
      <c r="P69" s="148">
        <f t="shared" si="101"/>
        <v>3693</v>
      </c>
      <c r="Q69" s="148">
        <f t="shared" ref="Q69:X69" si="131">Q23+Q46</f>
        <v>1196</v>
      </c>
      <c r="R69" s="148">
        <f t="shared" si="131"/>
        <v>1217</v>
      </c>
      <c r="S69" s="148">
        <f t="shared" si="131"/>
        <v>109</v>
      </c>
      <c r="T69" s="148">
        <f t="shared" si="131"/>
        <v>412</v>
      </c>
      <c r="U69" s="148">
        <f t="shared" si="131"/>
        <v>95</v>
      </c>
      <c r="V69" s="148">
        <f t="shared" si="131"/>
        <v>690</v>
      </c>
      <c r="W69" s="148">
        <f t="shared" si="131"/>
        <v>187</v>
      </c>
      <c r="X69" s="148">
        <f t="shared" si="131"/>
        <v>27</v>
      </c>
      <c r="Y69" s="118"/>
      <c r="Z69" s="99">
        <f t="shared" si="103"/>
        <v>3572</v>
      </c>
      <c r="AA69" s="99">
        <f t="shared" ref="AA69:AI69" si="132">AA23+AA46</f>
        <v>1756</v>
      </c>
      <c r="AB69" s="99">
        <f t="shared" si="132"/>
        <v>584</v>
      </c>
      <c r="AC69" s="99">
        <f t="shared" si="132"/>
        <v>712</v>
      </c>
      <c r="AD69" s="99">
        <f t="shared" si="132"/>
        <v>58</v>
      </c>
      <c r="AE69" s="99">
        <f t="shared" si="132"/>
        <v>135</v>
      </c>
      <c r="AF69" s="99">
        <f t="shared" si="132"/>
        <v>13</v>
      </c>
      <c r="AG69" s="99">
        <f t="shared" si="132"/>
        <v>226</v>
      </c>
      <c r="AH69" s="99">
        <f t="shared" si="132"/>
        <v>60</v>
      </c>
      <c r="AI69" s="99">
        <f t="shared" si="132"/>
        <v>28</v>
      </c>
      <c r="AJ69" s="118"/>
      <c r="AK69" s="109">
        <f t="shared" si="58"/>
        <v>1.0835387642884038</v>
      </c>
      <c r="AL69" s="109">
        <f t="shared" si="59"/>
        <v>0.46839758720167846</v>
      </c>
      <c r="AM69" s="118"/>
    </row>
    <row r="70" spans="1:39" s="118" customFormat="1" ht="14.4" x14ac:dyDescent="0.3">
      <c r="A70" s="128" t="s">
        <v>115</v>
      </c>
      <c r="B70" s="129"/>
      <c r="C70" s="94">
        <f>C53-C60</f>
        <v>-31416.010000000009</v>
      </c>
      <c r="D70" s="94">
        <f t="shared" ref="D70:M70" si="133">D53-D60</f>
        <v>-11437.019999999997</v>
      </c>
      <c r="E70" s="94">
        <f t="shared" ref="E70:F70" si="134">E53-E60</f>
        <v>-8810.0499999999993</v>
      </c>
      <c r="F70" s="94">
        <f t="shared" si="134"/>
        <v>-4158.8000000000011</v>
      </c>
      <c r="G70" s="94">
        <f t="shared" si="133"/>
        <v>-864.45</v>
      </c>
      <c r="H70" s="94">
        <f t="shared" si="133"/>
        <v>-1404.9299999999998</v>
      </c>
      <c r="I70" s="94">
        <f t="shared" ref="I70:L70" si="135">I53-I60</f>
        <v>-893.27</v>
      </c>
      <c r="J70" s="94">
        <f t="shared" si="135"/>
        <v>-1853.9799999999996</v>
      </c>
      <c r="K70" s="94">
        <f t="shared" si="135"/>
        <v>-1666.99</v>
      </c>
      <c r="L70" s="94">
        <f t="shared" si="135"/>
        <v>-13.530000000000001</v>
      </c>
      <c r="M70" s="94">
        <f t="shared" si="133"/>
        <v>-312.99</v>
      </c>
      <c r="N70" s="130"/>
      <c r="O70" s="94">
        <f>O53-O60</f>
        <v>-29986</v>
      </c>
      <c r="P70" s="94">
        <f t="shared" ref="P70" si="136">P53-P60</f>
        <v>-10644</v>
      </c>
      <c r="Q70" s="94">
        <f t="shared" ref="Q70:X70" si="137">Q53-Q60</f>
        <v>-9028</v>
      </c>
      <c r="R70" s="94">
        <f t="shared" si="137"/>
        <v>-2605</v>
      </c>
      <c r="S70" s="94">
        <f t="shared" si="137"/>
        <v>-943</v>
      </c>
      <c r="T70" s="94">
        <f t="shared" si="137"/>
        <v>-1497</v>
      </c>
      <c r="U70" s="94">
        <f t="shared" si="137"/>
        <v>-994</v>
      </c>
      <c r="V70" s="94">
        <f t="shared" si="137"/>
        <v>-2199</v>
      </c>
      <c r="W70" s="94">
        <f t="shared" si="137"/>
        <v>-1819</v>
      </c>
      <c r="X70" s="94">
        <f t="shared" si="137"/>
        <v>-257</v>
      </c>
      <c r="Y70" s="130"/>
      <c r="Z70" s="94">
        <f>Z53-Z60</f>
        <v>-21000</v>
      </c>
      <c r="AA70" s="94">
        <f t="shared" ref="AA70:AI70" si="138">AA53-AA60</f>
        <v>-4109</v>
      </c>
      <c r="AB70" s="94">
        <f t="shared" si="138"/>
        <v>-6913</v>
      </c>
      <c r="AC70" s="94">
        <f t="shared" si="138"/>
        <v>-1640</v>
      </c>
      <c r="AD70" s="94">
        <f t="shared" si="138"/>
        <v>-873</v>
      </c>
      <c r="AE70" s="94">
        <f t="shared" si="138"/>
        <v>-3376</v>
      </c>
      <c r="AF70" s="94">
        <f t="shared" si="138"/>
        <v>-316</v>
      </c>
      <c r="AG70" s="94">
        <f t="shared" si="138"/>
        <v>-3044</v>
      </c>
      <c r="AH70" s="94">
        <f t="shared" si="138"/>
        <v>-464</v>
      </c>
      <c r="AI70" s="94">
        <f t="shared" si="138"/>
        <v>-265</v>
      </c>
      <c r="AJ70" s="130"/>
      <c r="AK70" s="131"/>
      <c r="AL70" s="131"/>
    </row>
    <row r="71" spans="1:39" s="118" customFormat="1" ht="14.4" x14ac:dyDescent="0.3">
      <c r="A71" s="132" t="s">
        <v>94</v>
      </c>
      <c r="B71" s="133"/>
      <c r="C71" s="134">
        <f>C25+C48</f>
        <v>31482.090000000007</v>
      </c>
      <c r="D71" s="134">
        <f>D25+D48</f>
        <v>11453.01</v>
      </c>
      <c r="E71" s="134">
        <f t="shared" ref="E71:F71" si="139">E25+E48</f>
        <v>8821.01</v>
      </c>
      <c r="F71" s="134">
        <f t="shared" si="139"/>
        <v>4159.18</v>
      </c>
      <c r="G71" s="134">
        <f t="shared" ref="G71:M71" si="140">G25+G48</f>
        <v>864.47</v>
      </c>
      <c r="H71" s="134">
        <f t="shared" si="140"/>
        <v>1405.15</v>
      </c>
      <c r="I71" s="134">
        <f t="shared" ref="I71:L71" si="141">I25+I48</f>
        <v>893.29</v>
      </c>
      <c r="J71" s="134">
        <f t="shared" si="141"/>
        <v>1854.36</v>
      </c>
      <c r="K71" s="134">
        <f t="shared" si="141"/>
        <v>1680.23</v>
      </c>
      <c r="L71" s="134">
        <f t="shared" si="141"/>
        <v>38.4</v>
      </c>
      <c r="M71" s="134">
        <f t="shared" si="140"/>
        <v>312.99</v>
      </c>
      <c r="N71" s="130"/>
      <c r="O71" s="134">
        <f>O25+O48</f>
        <v>29986</v>
      </c>
      <c r="P71" s="134">
        <f t="shared" ref="P71" si="142">P25+P48</f>
        <v>10644</v>
      </c>
      <c r="Q71" s="134">
        <f t="shared" ref="Q71:X71" si="143">Q25+Q48</f>
        <v>9028</v>
      </c>
      <c r="R71" s="134">
        <f t="shared" si="143"/>
        <v>2605</v>
      </c>
      <c r="S71" s="134">
        <f t="shared" si="143"/>
        <v>943</v>
      </c>
      <c r="T71" s="134">
        <f t="shared" si="143"/>
        <v>1497</v>
      </c>
      <c r="U71" s="134">
        <f t="shared" si="143"/>
        <v>994</v>
      </c>
      <c r="V71" s="134">
        <f t="shared" si="143"/>
        <v>2199</v>
      </c>
      <c r="W71" s="134">
        <f t="shared" si="143"/>
        <v>1819</v>
      </c>
      <c r="X71" s="134">
        <f t="shared" si="143"/>
        <v>257</v>
      </c>
      <c r="Y71" s="130"/>
      <c r="Z71" s="134">
        <f>Z25+Z48</f>
        <v>21000</v>
      </c>
      <c r="AA71" s="134">
        <f t="shared" ref="AA71:AI71" si="144">AA25+AA48</f>
        <v>4109</v>
      </c>
      <c r="AB71" s="134">
        <f t="shared" si="144"/>
        <v>6913</v>
      </c>
      <c r="AC71" s="134">
        <f t="shared" si="144"/>
        <v>1640</v>
      </c>
      <c r="AD71" s="134">
        <f t="shared" si="144"/>
        <v>873</v>
      </c>
      <c r="AE71" s="134">
        <f t="shared" si="144"/>
        <v>3376</v>
      </c>
      <c r="AF71" s="134">
        <f t="shared" si="144"/>
        <v>316</v>
      </c>
      <c r="AG71" s="134">
        <f t="shared" si="144"/>
        <v>3044</v>
      </c>
      <c r="AH71" s="134">
        <f t="shared" si="144"/>
        <v>464</v>
      </c>
      <c r="AI71" s="134">
        <f t="shared" si="144"/>
        <v>265</v>
      </c>
      <c r="AJ71" s="130"/>
      <c r="AK71" s="136"/>
      <c r="AL71" s="136"/>
    </row>
    <row r="72" spans="1:39" s="118" customFormat="1" ht="15.6" x14ac:dyDescent="0.3">
      <c r="A72" s="186" t="s">
        <v>164</v>
      </c>
      <c r="B72" s="187"/>
      <c r="C72" s="119">
        <f>C70+C71</f>
        <v>66.079999999998108</v>
      </c>
      <c r="D72" s="119">
        <f t="shared" ref="D72:M72" si="145">D70+D71</f>
        <v>15.99000000000342</v>
      </c>
      <c r="E72" s="119">
        <f t="shared" si="145"/>
        <v>10.960000000000946</v>
      </c>
      <c r="F72" s="119">
        <f t="shared" si="145"/>
        <v>0.37999999999919964</v>
      </c>
      <c r="G72" s="119">
        <f t="shared" si="145"/>
        <v>1.999999999998181E-2</v>
      </c>
      <c r="H72" s="119">
        <f t="shared" si="145"/>
        <v>0.22000000000025466</v>
      </c>
      <c r="I72" s="119">
        <f t="shared" si="145"/>
        <v>1.999999999998181E-2</v>
      </c>
      <c r="J72" s="119">
        <f t="shared" si="145"/>
        <v>0.38000000000033651</v>
      </c>
      <c r="K72" s="119">
        <f t="shared" si="145"/>
        <v>13.240000000000009</v>
      </c>
      <c r="L72" s="119">
        <f t="shared" si="145"/>
        <v>24.869999999999997</v>
      </c>
      <c r="M72" s="119">
        <f t="shared" si="145"/>
        <v>0</v>
      </c>
      <c r="O72" s="119">
        <f>O70+O71</f>
        <v>0</v>
      </c>
      <c r="P72" s="119">
        <f t="shared" ref="P72" si="146">P70+P71</f>
        <v>0</v>
      </c>
      <c r="Q72" s="119">
        <f t="shared" ref="Q72" si="147">Q70+Q71</f>
        <v>0</v>
      </c>
      <c r="R72" s="119">
        <f t="shared" ref="R72" si="148">R70+R71</f>
        <v>0</v>
      </c>
      <c r="S72" s="119">
        <f t="shared" ref="S72" si="149">S70+S71</f>
        <v>0</v>
      </c>
      <c r="T72" s="119">
        <f t="shared" ref="T72" si="150">T70+T71</f>
        <v>0</v>
      </c>
      <c r="U72" s="119">
        <f t="shared" ref="U72" si="151">U70+U71</f>
        <v>0</v>
      </c>
      <c r="V72" s="119">
        <f t="shared" ref="V72" si="152">V70+V71</f>
        <v>0</v>
      </c>
      <c r="W72" s="119">
        <f t="shared" ref="W72" si="153">W70+W71</f>
        <v>0</v>
      </c>
      <c r="X72" s="119">
        <f t="shared" ref="X72" si="154">X70+X71</f>
        <v>0</v>
      </c>
      <c r="Z72" s="119">
        <f>Z70+Z71</f>
        <v>0</v>
      </c>
      <c r="AA72" s="119">
        <f t="shared" ref="AA72:AI72" si="155">AA70+AA71</f>
        <v>0</v>
      </c>
      <c r="AB72" s="119">
        <f t="shared" si="155"/>
        <v>0</v>
      </c>
      <c r="AC72" s="119">
        <f t="shared" si="155"/>
        <v>0</v>
      </c>
      <c r="AD72" s="119">
        <f t="shared" si="155"/>
        <v>0</v>
      </c>
      <c r="AE72" s="119">
        <f t="shared" si="155"/>
        <v>0</v>
      </c>
      <c r="AF72" s="119">
        <f t="shared" si="155"/>
        <v>0</v>
      </c>
      <c r="AG72" s="119">
        <f t="shared" si="155"/>
        <v>0</v>
      </c>
      <c r="AH72" s="119">
        <f t="shared" si="155"/>
        <v>0</v>
      </c>
      <c r="AI72" s="119">
        <f t="shared" si="155"/>
        <v>0</v>
      </c>
      <c r="AK72" s="121">
        <f>O72/C72</f>
        <v>0</v>
      </c>
      <c r="AL72" s="121" t="e">
        <f>Z72/O72</f>
        <v>#DIV/0!</v>
      </c>
    </row>
    <row r="73" spans="1:39" x14ac:dyDescent="0.25"/>
    <row r="74" spans="1:39" x14ac:dyDescent="0.25"/>
    <row r="75" spans="1:39" x14ac:dyDescent="0.25">
      <c r="O75" s="84">
        <f>182+1593+5209+8+634</f>
        <v>7626</v>
      </c>
    </row>
    <row r="76" spans="1:39" x14ac:dyDescent="0.25"/>
    <row r="77" spans="1:39" x14ac:dyDescent="0.25"/>
    <row r="78" spans="1:39" x14ac:dyDescent="0.25"/>
    <row r="79" spans="1:39" x14ac:dyDescent="0.25"/>
    <row r="80" spans="1:39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</sheetData>
  <mergeCells count="29">
    <mergeCell ref="A27:B27"/>
    <mergeCell ref="A1:AL1"/>
    <mergeCell ref="A3:M3"/>
    <mergeCell ref="O3:X3"/>
    <mergeCell ref="Z3:AI3"/>
    <mergeCell ref="AK3:AL3"/>
    <mergeCell ref="A4:M4"/>
    <mergeCell ref="O4:X4"/>
    <mergeCell ref="Z4:AI4"/>
    <mergeCell ref="D5:H5"/>
    <mergeCell ref="A6:B6"/>
    <mergeCell ref="A7:B7"/>
    <mergeCell ref="A14:B14"/>
    <mergeCell ref="A26:B26"/>
    <mergeCell ref="O51:X51"/>
    <mergeCell ref="Z51:AI51"/>
    <mergeCell ref="A52:B52"/>
    <mergeCell ref="A28:M28"/>
    <mergeCell ref="O28:X28"/>
    <mergeCell ref="Z28:AI28"/>
    <mergeCell ref="A29:B29"/>
    <mergeCell ref="A30:B30"/>
    <mergeCell ref="A37:B37"/>
    <mergeCell ref="A53:B53"/>
    <mergeCell ref="A60:B60"/>
    <mergeCell ref="A72:B72"/>
    <mergeCell ref="A49:B49"/>
    <mergeCell ref="A50:B50"/>
    <mergeCell ref="A51:M51"/>
  </mergeCells>
  <conditionalFormatting sqref="AK2:AL28 AK50:AL51 AK73:AL1048576">
    <cfRule type="containsErrors" dxfId="2" priority="3" stopIfTrue="1">
      <formula>ISERROR(AK2)</formula>
    </cfRule>
  </conditionalFormatting>
  <conditionalFormatting sqref="AK29:AL49">
    <cfRule type="containsErrors" dxfId="1" priority="2" stopIfTrue="1">
      <formula>ISERROR(AK29)</formula>
    </cfRule>
  </conditionalFormatting>
  <conditionalFormatting sqref="AK52:AL72">
    <cfRule type="containsErrors" dxfId="0" priority="1" stopIfTrue="1">
      <formula>ISERROR(AK52)</formula>
    </cfRule>
  </conditionalFormatting>
  <printOptions horizontalCentered="1" verticalCentered="1"/>
  <pageMargins left="0.15748031496062992" right="3.937007874015748E-2" top="0.78740157480314965" bottom="0.78740157480314965" header="0" footer="0"/>
  <pageSetup paperSize="8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112"/>
  <sheetViews>
    <sheetView showGridLines="0" zoomScaleNormal="100" workbookViewId="0">
      <selection activeCell="B48" sqref="B48"/>
    </sheetView>
  </sheetViews>
  <sheetFormatPr defaultColWidth="9.109375" defaultRowHeight="14.4" zeroHeight="1" x14ac:dyDescent="0.3"/>
  <cols>
    <col min="1" max="1" width="3.109375" customWidth="1"/>
    <col min="2" max="2" width="7.33203125" customWidth="1"/>
    <col min="3" max="3" width="50.44140625" customWidth="1"/>
    <col min="4" max="18" width="10.6640625" customWidth="1"/>
  </cols>
  <sheetData>
    <row r="1" spans="2:18" ht="15" x14ac:dyDescent="0.25"/>
    <row r="2" spans="2:18" ht="21" x14ac:dyDescent="0.4">
      <c r="B2" s="3" t="s">
        <v>124</v>
      </c>
    </row>
    <row r="3" spans="2:18" ht="15" x14ac:dyDescent="0.25"/>
    <row r="4" spans="2:18" x14ac:dyDescent="0.3">
      <c r="B4" t="s">
        <v>84</v>
      </c>
      <c r="D4" t="s">
        <v>166</v>
      </c>
    </row>
    <row r="5" spans="2:18" x14ac:dyDescent="0.3">
      <c r="B5" t="s">
        <v>85</v>
      </c>
      <c r="D5">
        <v>46789944</v>
      </c>
    </row>
    <row r="6" spans="2:18" x14ac:dyDescent="0.3">
      <c r="B6" t="s">
        <v>86</v>
      </c>
      <c r="D6" t="s">
        <v>167</v>
      </c>
    </row>
    <row r="7" spans="2:18" ht="15" x14ac:dyDescent="0.25"/>
    <row r="8" spans="2:18" x14ac:dyDescent="0.3">
      <c r="B8" s="1" t="s">
        <v>69</v>
      </c>
    </row>
    <row r="9" spans="2:18" ht="15.75" thickBot="1" x14ac:dyDescent="0.3">
      <c r="E9">
        <v>2016</v>
      </c>
      <c r="H9">
        <v>2017</v>
      </c>
      <c r="K9">
        <v>2018</v>
      </c>
      <c r="N9">
        <v>2019</v>
      </c>
      <c r="Q9">
        <v>2020</v>
      </c>
    </row>
    <row r="10" spans="2:18" x14ac:dyDescent="0.3">
      <c r="B10" s="156" t="s">
        <v>40</v>
      </c>
      <c r="C10" s="158" t="s">
        <v>41</v>
      </c>
      <c r="D10" s="166" t="s">
        <v>111</v>
      </c>
      <c r="E10" s="164"/>
      <c r="F10" s="167"/>
      <c r="G10" s="163" t="s">
        <v>112</v>
      </c>
      <c r="H10" s="164"/>
      <c r="I10" s="165"/>
      <c r="J10" s="166" t="s">
        <v>113</v>
      </c>
      <c r="K10" s="164"/>
      <c r="L10" s="167"/>
      <c r="M10" s="166" t="s">
        <v>114</v>
      </c>
      <c r="N10" s="164"/>
      <c r="O10" s="167"/>
      <c r="P10" s="166" t="s">
        <v>122</v>
      </c>
      <c r="Q10" s="164"/>
      <c r="R10" s="167"/>
    </row>
    <row r="11" spans="2:18" ht="29.4" thickBot="1" x14ac:dyDescent="0.35">
      <c r="B11" s="157"/>
      <c r="C11" s="159"/>
      <c r="D11" s="9" t="s">
        <v>42</v>
      </c>
      <c r="E11" s="10" t="s">
        <v>43</v>
      </c>
      <c r="F11" s="11" t="s">
        <v>44</v>
      </c>
      <c r="G11" s="12" t="s">
        <v>42</v>
      </c>
      <c r="H11" s="10" t="s">
        <v>43</v>
      </c>
      <c r="I11" s="13" t="s">
        <v>44</v>
      </c>
      <c r="J11" s="9" t="s">
        <v>42</v>
      </c>
      <c r="K11" s="10" t="s">
        <v>43</v>
      </c>
      <c r="L11" s="11" t="s">
        <v>44</v>
      </c>
      <c r="M11" s="9" t="s">
        <v>42</v>
      </c>
      <c r="N11" s="10" t="s">
        <v>43</v>
      </c>
      <c r="O11" s="11" t="s">
        <v>44</v>
      </c>
      <c r="P11" s="9" t="s">
        <v>42</v>
      </c>
      <c r="Q11" s="10" t="s">
        <v>43</v>
      </c>
      <c r="R11" s="11" t="s">
        <v>44</v>
      </c>
    </row>
    <row r="12" spans="2:18" ht="15" x14ac:dyDescent="0.25">
      <c r="B12" s="17"/>
      <c r="C12" s="20" t="s">
        <v>45</v>
      </c>
      <c r="D12" s="14" t="s">
        <v>46</v>
      </c>
      <c r="E12" s="15" t="s">
        <v>47</v>
      </c>
      <c r="F12" s="16" t="s">
        <v>49</v>
      </c>
      <c r="G12" s="7" t="s">
        <v>48</v>
      </c>
      <c r="H12" s="5" t="s">
        <v>88</v>
      </c>
      <c r="I12" s="8" t="s">
        <v>89</v>
      </c>
      <c r="J12" s="4" t="s">
        <v>102</v>
      </c>
      <c r="K12" s="5" t="s">
        <v>103</v>
      </c>
      <c r="L12" s="6" t="s">
        <v>104</v>
      </c>
      <c r="M12" s="4" t="s">
        <v>105</v>
      </c>
      <c r="N12" s="5" t="s">
        <v>106</v>
      </c>
      <c r="O12" s="6" t="s">
        <v>107</v>
      </c>
      <c r="P12" s="4" t="s">
        <v>108</v>
      </c>
      <c r="Q12" s="5" t="s">
        <v>109</v>
      </c>
      <c r="R12" s="6" t="s">
        <v>110</v>
      </c>
    </row>
    <row r="13" spans="2:18" x14ac:dyDescent="0.3">
      <c r="B13" s="18" t="s">
        <v>0</v>
      </c>
      <c r="C13" s="21" t="s">
        <v>1</v>
      </c>
      <c r="D13" s="29">
        <v>42384</v>
      </c>
      <c r="E13" s="30">
        <v>822</v>
      </c>
      <c r="F13" s="31">
        <f>D13+E13</f>
        <v>43206</v>
      </c>
      <c r="G13" s="29">
        <f>SUM('Rozpočet PO'!G13)</f>
        <v>45000</v>
      </c>
      <c r="H13" s="30">
        <f>SUM('Rozpočet PO'!H13)</f>
        <v>0</v>
      </c>
      <c r="I13" s="31">
        <f>G13+H13</f>
        <v>45000</v>
      </c>
      <c r="J13" s="29">
        <f>SUM('Rozpočet PO'!P13)</f>
        <v>48267</v>
      </c>
      <c r="K13" s="30">
        <f>SUM('Rozpočet PO'!Q13)</f>
        <v>0</v>
      </c>
      <c r="L13" s="31">
        <f>J13+K13</f>
        <v>48267</v>
      </c>
      <c r="M13" s="29">
        <v>49459</v>
      </c>
      <c r="N13" s="30">
        <v>0</v>
      </c>
      <c r="O13" s="31">
        <f>M13+N13</f>
        <v>49459</v>
      </c>
      <c r="P13" s="29">
        <v>51784</v>
      </c>
      <c r="Q13" s="30">
        <v>0</v>
      </c>
      <c r="R13" s="31">
        <f>P13+Q13</f>
        <v>51784</v>
      </c>
    </row>
    <row r="14" spans="2:18" x14ac:dyDescent="0.3">
      <c r="B14" s="18" t="s">
        <v>2</v>
      </c>
      <c r="C14" s="23" t="s">
        <v>95</v>
      </c>
      <c r="D14" s="32">
        <v>0</v>
      </c>
      <c r="E14" s="33">
        <v>0</v>
      </c>
      <c r="F14" s="31">
        <f t="shared" ref="F14:F41" si="0">D14+E14</f>
        <v>0</v>
      </c>
      <c r="G14" s="32">
        <f>SUM('Rozpočet PO'!G14)</f>
        <v>0</v>
      </c>
      <c r="H14" s="33">
        <f>SUM('Rozpočet PO'!H14)</f>
        <v>0</v>
      </c>
      <c r="I14" s="31">
        <f t="shared" ref="I14:I36" si="1">G14+H14</f>
        <v>0</v>
      </c>
      <c r="J14" s="29">
        <f>SUM('Rozpočet PO'!P14)</f>
        <v>0</v>
      </c>
      <c r="K14" s="30">
        <f>SUM('Rozpočet PO'!Q14)</f>
        <v>0</v>
      </c>
      <c r="L14" s="31">
        <f t="shared" ref="L14:L36" si="2">J14+K14</f>
        <v>0</v>
      </c>
      <c r="M14" s="32">
        <v>0</v>
      </c>
      <c r="N14" s="33">
        <v>0</v>
      </c>
      <c r="O14" s="31">
        <f t="shared" ref="O14:O36" si="3">M14+N14</f>
        <v>0</v>
      </c>
      <c r="P14" s="32">
        <v>0</v>
      </c>
      <c r="Q14" s="33">
        <v>0</v>
      </c>
      <c r="R14" s="31">
        <f t="shared" ref="R14:R36" si="4">P14+Q14</f>
        <v>0</v>
      </c>
    </row>
    <row r="15" spans="2:18" x14ac:dyDescent="0.3">
      <c r="B15" s="18" t="s">
        <v>4</v>
      </c>
      <c r="C15" s="22" t="s">
        <v>127</v>
      </c>
      <c r="D15" s="29">
        <v>12387</v>
      </c>
      <c r="E15" s="30">
        <v>0</v>
      </c>
      <c r="F15" s="31">
        <f t="shared" si="0"/>
        <v>12387</v>
      </c>
      <c r="G15" s="29">
        <f>SUM('Rozpočet PO'!G15)</f>
        <v>15109</v>
      </c>
      <c r="H15" s="30">
        <f>SUM('Rozpočet PO'!H15)</f>
        <v>0</v>
      </c>
      <c r="I15" s="31">
        <f t="shared" si="1"/>
        <v>15109</v>
      </c>
      <c r="J15" s="29">
        <f>SUM('Rozpočet PO'!P15)</f>
        <v>36396</v>
      </c>
      <c r="K15" s="30">
        <f>SUM('Rozpočet PO'!Q15)</f>
        <v>0</v>
      </c>
      <c r="L15" s="31">
        <f t="shared" si="2"/>
        <v>36396</v>
      </c>
      <c r="M15" s="29">
        <v>39969</v>
      </c>
      <c r="N15" s="30">
        <v>0</v>
      </c>
      <c r="O15" s="31">
        <f t="shared" si="3"/>
        <v>39969</v>
      </c>
      <c r="P15" s="29">
        <v>40969</v>
      </c>
      <c r="Q15" s="30">
        <v>0</v>
      </c>
      <c r="R15" s="31">
        <f t="shared" si="4"/>
        <v>40969</v>
      </c>
    </row>
    <row r="16" spans="2:18" x14ac:dyDescent="0.3">
      <c r="B16" s="18" t="s">
        <v>6</v>
      </c>
      <c r="C16" s="23" t="s">
        <v>96</v>
      </c>
      <c r="D16" s="29">
        <v>0</v>
      </c>
      <c r="E16" s="30">
        <v>0</v>
      </c>
      <c r="F16" s="31">
        <f t="shared" si="0"/>
        <v>0</v>
      </c>
      <c r="G16" s="29">
        <f>SUM('Rozpočet PO'!G16)</f>
        <v>0</v>
      </c>
      <c r="H16" s="30">
        <f>SUM('Rozpočet PO'!H16)</f>
        <v>0</v>
      </c>
      <c r="I16" s="31">
        <f t="shared" si="1"/>
        <v>0</v>
      </c>
      <c r="J16" s="29">
        <f>SUM('Rozpočet PO'!P16)</f>
        <v>0</v>
      </c>
      <c r="K16" s="30">
        <f>SUM('Rozpočet PO'!Q16)</f>
        <v>0</v>
      </c>
      <c r="L16" s="31">
        <f t="shared" si="2"/>
        <v>0</v>
      </c>
      <c r="M16" s="29">
        <v>0</v>
      </c>
      <c r="N16" s="30">
        <v>0</v>
      </c>
      <c r="O16" s="31">
        <f t="shared" si="3"/>
        <v>0</v>
      </c>
      <c r="P16" s="29">
        <v>0</v>
      </c>
      <c r="Q16" s="30">
        <v>0</v>
      </c>
      <c r="R16" s="31">
        <f t="shared" si="4"/>
        <v>0</v>
      </c>
    </row>
    <row r="17" spans="2:18" x14ac:dyDescent="0.3">
      <c r="B17" s="18" t="s">
        <v>8</v>
      </c>
      <c r="C17" s="23" t="s">
        <v>97</v>
      </c>
      <c r="D17" s="29">
        <v>0</v>
      </c>
      <c r="E17" s="30">
        <v>0</v>
      </c>
      <c r="F17" s="31">
        <f t="shared" si="0"/>
        <v>0</v>
      </c>
      <c r="G17" s="29">
        <f>SUM('Rozpočet PO'!G17)</f>
        <v>0</v>
      </c>
      <c r="H17" s="30">
        <f>SUM('Rozpočet PO'!H17)</f>
        <v>0</v>
      </c>
      <c r="I17" s="31">
        <f t="shared" si="1"/>
        <v>0</v>
      </c>
      <c r="J17" s="29">
        <f>SUM('Rozpočet PO'!P17)</f>
        <v>0</v>
      </c>
      <c r="K17" s="30">
        <f>SUM('Rozpočet PO'!Q17)</f>
        <v>0</v>
      </c>
      <c r="L17" s="31">
        <f t="shared" si="2"/>
        <v>0</v>
      </c>
      <c r="M17" s="29">
        <v>0</v>
      </c>
      <c r="N17" s="30">
        <v>0</v>
      </c>
      <c r="O17" s="31">
        <f t="shared" si="3"/>
        <v>0</v>
      </c>
      <c r="P17" s="29">
        <v>0</v>
      </c>
      <c r="Q17" s="30">
        <v>0</v>
      </c>
      <c r="R17" s="31">
        <f t="shared" si="4"/>
        <v>0</v>
      </c>
    </row>
    <row r="18" spans="2:18" x14ac:dyDescent="0.3">
      <c r="B18" s="18" t="s">
        <v>10</v>
      </c>
      <c r="C18" s="24" t="s">
        <v>3</v>
      </c>
      <c r="D18" s="32">
        <v>749</v>
      </c>
      <c r="E18" s="33">
        <v>46</v>
      </c>
      <c r="F18" s="31">
        <f t="shared" si="0"/>
        <v>795</v>
      </c>
      <c r="G18" s="32">
        <f>SUM('Rozpočet PO'!G18)</f>
        <v>1271</v>
      </c>
      <c r="H18" s="33">
        <f>SUM('Rozpočet PO'!H18)</f>
        <v>18</v>
      </c>
      <c r="I18" s="31">
        <f t="shared" si="1"/>
        <v>1289</v>
      </c>
      <c r="J18" s="29">
        <f>SUM('Rozpočet PO'!P18)</f>
        <v>154</v>
      </c>
      <c r="K18" s="30">
        <f>SUM('Rozpočet PO'!Q18)</f>
        <v>40</v>
      </c>
      <c r="L18" s="31">
        <f t="shared" si="2"/>
        <v>194</v>
      </c>
      <c r="M18" s="32">
        <v>154</v>
      </c>
      <c r="N18" s="33">
        <v>38</v>
      </c>
      <c r="O18" s="31">
        <f t="shared" si="3"/>
        <v>192</v>
      </c>
      <c r="P18" s="32">
        <v>154</v>
      </c>
      <c r="Q18" s="33">
        <v>38</v>
      </c>
      <c r="R18" s="31">
        <f t="shared" si="4"/>
        <v>192</v>
      </c>
    </row>
    <row r="19" spans="2:18" x14ac:dyDescent="0.3">
      <c r="B19" s="18" t="s">
        <v>12</v>
      </c>
      <c r="C19" s="24" t="s">
        <v>5</v>
      </c>
      <c r="D19" s="32">
        <v>0</v>
      </c>
      <c r="E19" s="33">
        <v>46</v>
      </c>
      <c r="F19" s="31">
        <f t="shared" si="0"/>
        <v>46</v>
      </c>
      <c r="G19" s="32">
        <f>SUM('Rozpočet PO'!G19)</f>
        <v>0</v>
      </c>
      <c r="H19" s="33">
        <f>SUM('Rozpočet PO'!H19)</f>
        <v>18</v>
      </c>
      <c r="I19" s="31">
        <f t="shared" si="1"/>
        <v>18</v>
      </c>
      <c r="J19" s="29">
        <f>SUM('Rozpočet PO'!P19)</f>
        <v>0</v>
      </c>
      <c r="K19" s="30">
        <f>SUM('Rozpočet PO'!Q19)</f>
        <v>40</v>
      </c>
      <c r="L19" s="31">
        <f t="shared" si="2"/>
        <v>40</v>
      </c>
      <c r="M19" s="32">
        <v>0</v>
      </c>
      <c r="N19" s="33">
        <v>38</v>
      </c>
      <c r="O19" s="31">
        <f t="shared" si="3"/>
        <v>38</v>
      </c>
      <c r="P19" s="32">
        <v>0</v>
      </c>
      <c r="Q19" s="33">
        <v>38</v>
      </c>
      <c r="R19" s="31">
        <f t="shared" si="4"/>
        <v>38</v>
      </c>
    </row>
    <row r="20" spans="2:18" x14ac:dyDescent="0.3">
      <c r="B20" s="18" t="s">
        <v>14</v>
      </c>
      <c r="C20" s="25" t="s">
        <v>7</v>
      </c>
      <c r="D20" s="32">
        <v>0</v>
      </c>
      <c r="E20" s="33">
        <v>0</v>
      </c>
      <c r="F20" s="31">
        <f t="shared" si="0"/>
        <v>0</v>
      </c>
      <c r="G20" s="32">
        <f>SUM('Rozpočet PO'!G20)</f>
        <v>0</v>
      </c>
      <c r="H20" s="33">
        <f>SUM('Rozpočet PO'!H20)</f>
        <v>0</v>
      </c>
      <c r="I20" s="31">
        <f t="shared" si="1"/>
        <v>0</v>
      </c>
      <c r="J20" s="29">
        <f>SUM('Rozpočet PO'!P20)</f>
        <v>0</v>
      </c>
      <c r="K20" s="30">
        <f>SUM('Rozpočet PO'!Q20)</f>
        <v>0</v>
      </c>
      <c r="L20" s="31">
        <f t="shared" si="2"/>
        <v>0</v>
      </c>
      <c r="M20" s="32">
        <v>0</v>
      </c>
      <c r="N20" s="33">
        <v>0</v>
      </c>
      <c r="O20" s="31">
        <f t="shared" si="3"/>
        <v>0</v>
      </c>
      <c r="P20" s="32">
        <v>0</v>
      </c>
      <c r="Q20" s="33">
        <v>0</v>
      </c>
      <c r="R20" s="31">
        <f t="shared" si="4"/>
        <v>0</v>
      </c>
    </row>
    <row r="21" spans="2:18" x14ac:dyDescent="0.3">
      <c r="B21" s="19" t="s">
        <v>16</v>
      </c>
      <c r="C21" s="26" t="s">
        <v>9</v>
      </c>
      <c r="D21" s="34">
        <f>SUM(D13:D18)</f>
        <v>55520</v>
      </c>
      <c r="E21" s="34">
        <f t="shared" ref="E21:R21" si="5">SUM(E13:E18)</f>
        <v>868</v>
      </c>
      <c r="F21" s="34">
        <f t="shared" si="5"/>
        <v>56388</v>
      </c>
      <c r="G21" s="34">
        <f t="shared" si="5"/>
        <v>61380</v>
      </c>
      <c r="H21" s="34">
        <f t="shared" si="5"/>
        <v>18</v>
      </c>
      <c r="I21" s="34">
        <f t="shared" si="5"/>
        <v>61398</v>
      </c>
      <c r="J21" s="34">
        <f>SUM(J13:J18)</f>
        <v>84817</v>
      </c>
      <c r="K21" s="34">
        <f>SUM(K13:K18)</f>
        <v>40</v>
      </c>
      <c r="L21" s="34">
        <f t="shared" si="5"/>
        <v>84857</v>
      </c>
      <c r="M21" s="34">
        <f t="shared" si="5"/>
        <v>89582</v>
      </c>
      <c r="N21" s="34">
        <f t="shared" si="5"/>
        <v>38</v>
      </c>
      <c r="O21" s="34">
        <f t="shared" si="5"/>
        <v>89620</v>
      </c>
      <c r="P21" s="34">
        <f t="shared" si="5"/>
        <v>92907</v>
      </c>
      <c r="Q21" s="34">
        <f t="shared" si="5"/>
        <v>38</v>
      </c>
      <c r="R21" s="34">
        <f t="shared" si="5"/>
        <v>92945</v>
      </c>
    </row>
    <row r="22" spans="2:18" x14ac:dyDescent="0.3">
      <c r="B22" s="18" t="s">
        <v>18</v>
      </c>
      <c r="C22" s="24" t="s">
        <v>11</v>
      </c>
      <c r="D22" s="32">
        <v>1200</v>
      </c>
      <c r="E22" s="33">
        <v>0</v>
      </c>
      <c r="F22" s="31">
        <f t="shared" si="0"/>
        <v>1200</v>
      </c>
      <c r="G22" s="32">
        <f>SUM('Rozpočet PO'!G22)</f>
        <v>480</v>
      </c>
      <c r="H22" s="33">
        <f>SUM('Rozpočet PO'!H22)</f>
        <v>0</v>
      </c>
      <c r="I22" s="31">
        <f t="shared" si="1"/>
        <v>480</v>
      </c>
      <c r="J22" s="32">
        <f>SUM('Rozpočet PO'!P22)</f>
        <v>883</v>
      </c>
      <c r="K22" s="33">
        <f>SUM('Rozpočet PO'!Q22)</f>
        <v>0</v>
      </c>
      <c r="L22" s="31">
        <f t="shared" si="2"/>
        <v>883</v>
      </c>
      <c r="M22" s="32">
        <v>688</v>
      </c>
      <c r="N22" s="33">
        <v>0</v>
      </c>
      <c r="O22" s="31">
        <f t="shared" si="3"/>
        <v>688</v>
      </c>
      <c r="P22" s="32">
        <v>588</v>
      </c>
      <c r="Q22" s="33">
        <v>0</v>
      </c>
      <c r="R22" s="31">
        <f t="shared" si="4"/>
        <v>588</v>
      </c>
    </row>
    <row r="23" spans="2:18" x14ac:dyDescent="0.3">
      <c r="B23" s="18" t="s">
        <v>20</v>
      </c>
      <c r="C23" s="24" t="s">
        <v>13</v>
      </c>
      <c r="D23" s="32">
        <f>11168-802</f>
        <v>10366</v>
      </c>
      <c r="E23" s="33">
        <v>802</v>
      </c>
      <c r="F23" s="31">
        <f t="shared" si="0"/>
        <v>11168</v>
      </c>
      <c r="G23" s="32">
        <f>SUM('Rozpočet PO'!G23)</f>
        <v>11717</v>
      </c>
      <c r="H23" s="33">
        <f>SUM('Rozpočet PO'!H23)</f>
        <v>18</v>
      </c>
      <c r="I23" s="31">
        <f t="shared" si="1"/>
        <v>11735</v>
      </c>
      <c r="J23" s="32">
        <f>SUM('Rozpočet PO'!P23)</f>
        <v>12967</v>
      </c>
      <c r="K23" s="33">
        <f>SUM('Rozpočet PO'!Q23)</f>
        <v>0</v>
      </c>
      <c r="L23" s="31">
        <f t="shared" si="2"/>
        <v>12967</v>
      </c>
      <c r="M23" s="32">
        <v>13424</v>
      </c>
      <c r="N23" s="33">
        <v>0</v>
      </c>
      <c r="O23" s="31">
        <f t="shared" si="3"/>
        <v>13424</v>
      </c>
      <c r="P23" s="32">
        <v>13667</v>
      </c>
      <c r="Q23" s="33">
        <v>0</v>
      </c>
      <c r="R23" s="31">
        <f t="shared" si="4"/>
        <v>13667</v>
      </c>
    </row>
    <row r="24" spans="2:18" x14ac:dyDescent="0.3">
      <c r="B24" s="18" t="s">
        <v>21</v>
      </c>
      <c r="C24" s="24" t="s">
        <v>15</v>
      </c>
      <c r="D24" s="32">
        <v>8078</v>
      </c>
      <c r="E24" s="33">
        <v>0</v>
      </c>
      <c r="F24" s="31">
        <f t="shared" si="0"/>
        <v>8078</v>
      </c>
      <c r="G24" s="32">
        <f>SUM('Rozpočet PO'!G24)</f>
        <v>7900</v>
      </c>
      <c r="H24" s="33">
        <f>SUM('Rozpočet PO'!H24)</f>
        <v>0</v>
      </c>
      <c r="I24" s="31">
        <f t="shared" si="1"/>
        <v>7900</v>
      </c>
      <c r="J24" s="32">
        <f>SUM('Rozpočet PO'!P24)</f>
        <v>8970</v>
      </c>
      <c r="K24" s="33">
        <f>SUM('Rozpočet PO'!Q24)</f>
        <v>0</v>
      </c>
      <c r="L24" s="31">
        <f t="shared" si="2"/>
        <v>8970</v>
      </c>
      <c r="M24" s="32">
        <v>9110</v>
      </c>
      <c r="N24" s="33">
        <v>0</v>
      </c>
      <c r="O24" s="31">
        <f t="shared" si="3"/>
        <v>9110</v>
      </c>
      <c r="P24" s="32">
        <v>9110</v>
      </c>
      <c r="Q24" s="33">
        <v>0</v>
      </c>
      <c r="R24" s="31">
        <f t="shared" si="4"/>
        <v>9110</v>
      </c>
    </row>
    <row r="25" spans="2:18" x14ac:dyDescent="0.3">
      <c r="B25" s="18" t="s">
        <v>23</v>
      </c>
      <c r="C25" s="24" t="s">
        <v>17</v>
      </c>
      <c r="D25" s="32">
        <v>3571</v>
      </c>
      <c r="E25" s="33">
        <v>0</v>
      </c>
      <c r="F25" s="31">
        <f t="shared" si="0"/>
        <v>3571</v>
      </c>
      <c r="G25" s="32">
        <f>SUM('Rozpočet PO'!G25)</f>
        <v>4718</v>
      </c>
      <c r="H25" s="33">
        <f>SUM('Rozpočet PO'!H25)</f>
        <v>0</v>
      </c>
      <c r="I25" s="31">
        <f t="shared" si="1"/>
        <v>4718</v>
      </c>
      <c r="J25" s="32">
        <f>SUM('Rozpočet PO'!P25)</f>
        <v>5264</v>
      </c>
      <c r="K25" s="33">
        <f>SUM('Rozpočet PO'!Q25)</f>
        <v>0</v>
      </c>
      <c r="L25" s="31">
        <f t="shared" si="2"/>
        <v>5264</v>
      </c>
      <c r="M25" s="32">
        <f>69+176+5696</f>
        <v>5941</v>
      </c>
      <c r="N25" s="33">
        <v>0</v>
      </c>
      <c r="O25" s="31">
        <f t="shared" si="3"/>
        <v>5941</v>
      </c>
      <c r="P25" s="32">
        <f>69+176+5176</f>
        <v>5421</v>
      </c>
      <c r="Q25" s="33">
        <v>0</v>
      </c>
      <c r="R25" s="31">
        <f t="shared" si="4"/>
        <v>5421</v>
      </c>
    </row>
    <row r="26" spans="2:18" x14ac:dyDescent="0.3">
      <c r="B26" s="18" t="s">
        <v>25</v>
      </c>
      <c r="C26" s="24" t="s">
        <v>19</v>
      </c>
      <c r="D26" s="32">
        <v>43174</v>
      </c>
      <c r="E26" s="33">
        <v>0</v>
      </c>
      <c r="F26" s="31">
        <f t="shared" si="0"/>
        <v>43174</v>
      </c>
      <c r="G26" s="32">
        <f>SUM('Rozpočet PO'!G26)</f>
        <v>43640</v>
      </c>
      <c r="H26" s="33">
        <f>SUM('Rozpočet PO'!H26)</f>
        <v>0</v>
      </c>
      <c r="I26" s="31">
        <f t="shared" si="1"/>
        <v>43640</v>
      </c>
      <c r="J26" s="32">
        <f>SUM('Rozpočet PO'!P26)</f>
        <v>54833</v>
      </c>
      <c r="K26" s="33">
        <f>SUM('Rozpočet PO'!Q26)</f>
        <v>0</v>
      </c>
      <c r="L26" s="31">
        <f t="shared" si="2"/>
        <v>54833</v>
      </c>
      <c r="M26" s="32">
        <v>56160</v>
      </c>
      <c r="N26" s="33">
        <v>0</v>
      </c>
      <c r="O26" s="31">
        <f t="shared" si="3"/>
        <v>56160</v>
      </c>
      <c r="P26" s="32">
        <v>57830</v>
      </c>
      <c r="Q26" s="33">
        <v>0</v>
      </c>
      <c r="R26" s="31">
        <f t="shared" si="4"/>
        <v>57830</v>
      </c>
    </row>
    <row r="27" spans="2:18" x14ac:dyDescent="0.3">
      <c r="B27" s="18" t="s">
        <v>27</v>
      </c>
      <c r="C27" s="24" t="s">
        <v>50</v>
      </c>
      <c r="D27" s="32">
        <f>43174-150</f>
        <v>43024</v>
      </c>
      <c r="E27" s="33">
        <v>0</v>
      </c>
      <c r="F27" s="31">
        <f t="shared" si="0"/>
        <v>43024</v>
      </c>
      <c r="G27" s="32">
        <f>SUM('Rozpočet PO'!G27)</f>
        <v>43490</v>
      </c>
      <c r="H27" s="33">
        <f>SUM('Rozpočet PO'!H27)</f>
        <v>0</v>
      </c>
      <c r="I27" s="31">
        <f t="shared" si="1"/>
        <v>43490</v>
      </c>
      <c r="J27" s="32">
        <f>SUM('Rozpočet PO'!P27)</f>
        <v>54683</v>
      </c>
      <c r="K27" s="33">
        <f>SUM('Rozpočet PO'!Q27)</f>
        <v>0</v>
      </c>
      <c r="L27" s="31">
        <f t="shared" si="2"/>
        <v>54683</v>
      </c>
      <c r="M27" s="32">
        <v>56000</v>
      </c>
      <c r="N27" s="33">
        <v>0</v>
      </c>
      <c r="O27" s="31">
        <f t="shared" si="3"/>
        <v>56000</v>
      </c>
      <c r="P27" s="32">
        <v>57630</v>
      </c>
      <c r="Q27" s="33">
        <v>0</v>
      </c>
      <c r="R27" s="31">
        <f t="shared" si="4"/>
        <v>57630</v>
      </c>
    </row>
    <row r="28" spans="2:18" x14ac:dyDescent="0.3">
      <c r="B28" s="18" t="s">
        <v>29</v>
      </c>
      <c r="C28" s="25" t="s">
        <v>22</v>
      </c>
      <c r="D28" s="32">
        <v>150</v>
      </c>
      <c r="E28" s="33">
        <v>0</v>
      </c>
      <c r="F28" s="31">
        <f t="shared" si="0"/>
        <v>150</v>
      </c>
      <c r="G28" s="32">
        <f>SUM('Rozpočet PO'!G28)</f>
        <v>150</v>
      </c>
      <c r="H28" s="33">
        <f>SUM('Rozpočet PO'!H28)</f>
        <v>0</v>
      </c>
      <c r="I28" s="31">
        <f t="shared" si="1"/>
        <v>150</v>
      </c>
      <c r="J28" s="32">
        <f>SUM('Rozpočet PO'!P28)</f>
        <v>150</v>
      </c>
      <c r="K28" s="33">
        <f>SUM('Rozpočet PO'!Q28)</f>
        <v>0</v>
      </c>
      <c r="L28" s="31">
        <f t="shared" si="2"/>
        <v>150</v>
      </c>
      <c r="M28" s="32">
        <v>160</v>
      </c>
      <c r="N28" s="33">
        <v>0</v>
      </c>
      <c r="O28" s="31">
        <f t="shared" si="3"/>
        <v>160</v>
      </c>
      <c r="P28" s="32">
        <v>200</v>
      </c>
      <c r="Q28" s="33">
        <v>0</v>
      </c>
      <c r="R28" s="31">
        <f t="shared" si="4"/>
        <v>200</v>
      </c>
    </row>
    <row r="29" spans="2:18" x14ac:dyDescent="0.3">
      <c r="B29" s="18" t="s">
        <v>31</v>
      </c>
      <c r="C29" s="24" t="s">
        <v>24</v>
      </c>
      <c r="D29" s="32">
        <v>14581</v>
      </c>
      <c r="E29" s="33">
        <v>0</v>
      </c>
      <c r="F29" s="31">
        <f t="shared" si="0"/>
        <v>14581</v>
      </c>
      <c r="G29" s="32">
        <f>SUM('Rozpočet PO'!G29)</f>
        <v>14838</v>
      </c>
      <c r="H29" s="33">
        <f>SUM('Rozpočet PO'!H29)</f>
        <v>0</v>
      </c>
      <c r="I29" s="31">
        <f t="shared" si="1"/>
        <v>14838</v>
      </c>
      <c r="J29" s="32">
        <f>SUM('Rozpočet PO'!P29)</f>
        <v>18747</v>
      </c>
      <c r="K29" s="33">
        <f>SUM('Rozpočet PO'!Q29)</f>
        <v>0</v>
      </c>
      <c r="L29" s="31">
        <f t="shared" si="2"/>
        <v>18747</v>
      </c>
      <c r="M29" s="32">
        <v>19094</v>
      </c>
      <c r="N29" s="33">
        <v>0</v>
      </c>
      <c r="O29" s="31">
        <f t="shared" si="3"/>
        <v>19094</v>
      </c>
      <c r="P29" s="32">
        <v>19656</v>
      </c>
      <c r="Q29" s="33">
        <v>0</v>
      </c>
      <c r="R29" s="31">
        <f t="shared" si="4"/>
        <v>19656</v>
      </c>
    </row>
    <row r="30" spans="2:18" x14ac:dyDescent="0.3">
      <c r="B30" s="18" t="s">
        <v>33</v>
      </c>
      <c r="C30" s="24" t="s">
        <v>26</v>
      </c>
      <c r="D30" s="32">
        <v>0</v>
      </c>
      <c r="E30" s="33">
        <v>0</v>
      </c>
      <c r="F30" s="31">
        <f t="shared" si="0"/>
        <v>0</v>
      </c>
      <c r="G30" s="32">
        <f>SUM('Rozpočet PO'!G30)</f>
        <v>1</v>
      </c>
      <c r="H30" s="33">
        <f>SUM('Rozpočet PO'!H30)</f>
        <v>0</v>
      </c>
      <c r="I30" s="31">
        <f t="shared" si="1"/>
        <v>1</v>
      </c>
      <c r="J30" s="32">
        <f>SUM('Rozpočet PO'!P30)</f>
        <v>2</v>
      </c>
      <c r="K30" s="33">
        <f>SUM('Rozpočet PO'!Q30)</f>
        <v>0</v>
      </c>
      <c r="L30" s="31">
        <f t="shared" si="2"/>
        <v>2</v>
      </c>
      <c r="M30" s="32">
        <v>2</v>
      </c>
      <c r="N30" s="33">
        <v>0</v>
      </c>
      <c r="O30" s="31">
        <f t="shared" si="3"/>
        <v>2</v>
      </c>
      <c r="P30" s="32">
        <v>2</v>
      </c>
      <c r="Q30" s="33">
        <v>0</v>
      </c>
      <c r="R30" s="31">
        <f t="shared" si="4"/>
        <v>2</v>
      </c>
    </row>
    <row r="31" spans="2:18" x14ac:dyDescent="0.3">
      <c r="B31" s="18" t="s">
        <v>34</v>
      </c>
      <c r="C31" s="24" t="s">
        <v>28</v>
      </c>
      <c r="D31" s="32">
        <v>468</v>
      </c>
      <c r="E31" s="33">
        <v>0</v>
      </c>
      <c r="F31" s="31">
        <f t="shared" si="0"/>
        <v>468</v>
      </c>
      <c r="G31" s="32">
        <f>SUM('Rozpočet PO'!G31)</f>
        <v>446</v>
      </c>
      <c r="H31" s="33">
        <f>SUM('Rozpočet PO'!H31)</f>
        <v>0</v>
      </c>
      <c r="I31" s="31">
        <f t="shared" si="1"/>
        <v>446</v>
      </c>
      <c r="J31" s="32">
        <f>SUM('Rozpočet PO'!P31)</f>
        <v>619</v>
      </c>
      <c r="K31" s="33">
        <f>SUM('Rozpočet PO'!Q31)</f>
        <v>0</v>
      </c>
      <c r="L31" s="31">
        <f t="shared" si="2"/>
        <v>619</v>
      </c>
      <c r="M31" s="32">
        <v>586</v>
      </c>
      <c r="N31" s="33">
        <v>0</v>
      </c>
      <c r="O31" s="31">
        <f t="shared" si="3"/>
        <v>586</v>
      </c>
      <c r="P31" s="32">
        <v>565</v>
      </c>
      <c r="Q31" s="33">
        <v>0</v>
      </c>
      <c r="R31" s="31">
        <f t="shared" si="4"/>
        <v>565</v>
      </c>
    </row>
    <row r="32" spans="2:18" x14ac:dyDescent="0.3">
      <c r="B32" s="18" t="s">
        <v>36</v>
      </c>
      <c r="C32" s="24" t="s">
        <v>30</v>
      </c>
      <c r="D32" s="32">
        <v>6302</v>
      </c>
      <c r="E32" s="33">
        <v>0</v>
      </c>
      <c r="F32" s="31">
        <f>4269+645+170</f>
        <v>5084</v>
      </c>
      <c r="G32" s="32">
        <f>SUM('Rozpočet PO'!G32)</f>
        <v>7626</v>
      </c>
      <c r="H32" s="33">
        <f>SUM('Rozpočet PO'!H32)</f>
        <v>0</v>
      </c>
      <c r="I32" s="31">
        <f t="shared" si="1"/>
        <v>7626</v>
      </c>
      <c r="J32" s="32">
        <f>SUM('Rozpočet PO'!P32)</f>
        <v>3572</v>
      </c>
      <c r="K32" s="33">
        <f>SUM('Rozpočet PO'!Q32)</f>
        <v>0</v>
      </c>
      <c r="L32" s="31">
        <f t="shared" si="2"/>
        <v>3572</v>
      </c>
      <c r="M32" s="32">
        <v>3308</v>
      </c>
      <c r="N32" s="33">
        <v>0</v>
      </c>
      <c r="O32" s="31">
        <f t="shared" si="3"/>
        <v>3308</v>
      </c>
      <c r="P32" s="32">
        <v>3296</v>
      </c>
      <c r="Q32" s="33">
        <v>0</v>
      </c>
      <c r="R32" s="31">
        <f t="shared" si="4"/>
        <v>3296</v>
      </c>
    </row>
    <row r="33" spans="2:18" x14ac:dyDescent="0.3">
      <c r="B33" s="18" t="s">
        <v>37</v>
      </c>
      <c r="C33" s="24" t="s">
        <v>120</v>
      </c>
      <c r="D33" s="32">
        <f>D38</f>
        <v>229</v>
      </c>
      <c r="E33" s="32">
        <f>E38</f>
        <v>0</v>
      </c>
      <c r="F33" s="31">
        <f t="shared" si="0"/>
        <v>229</v>
      </c>
      <c r="G33" s="32">
        <f>G38</f>
        <v>224</v>
      </c>
      <c r="H33" s="32">
        <f>H38</f>
        <v>0</v>
      </c>
      <c r="I33" s="31">
        <f t="shared" si="1"/>
        <v>224</v>
      </c>
      <c r="J33" s="32">
        <f>J38</f>
        <v>223.6</v>
      </c>
      <c r="K33" s="32">
        <f>K38</f>
        <v>0</v>
      </c>
      <c r="L33" s="31">
        <f t="shared" si="2"/>
        <v>223.6</v>
      </c>
      <c r="M33" s="32">
        <f>M38</f>
        <v>224</v>
      </c>
      <c r="N33" s="32">
        <f>N38</f>
        <v>0</v>
      </c>
      <c r="O33" s="31">
        <f t="shared" si="3"/>
        <v>224</v>
      </c>
      <c r="P33" s="32">
        <f>P38</f>
        <v>224</v>
      </c>
      <c r="Q33" s="32">
        <f>Q38</f>
        <v>0</v>
      </c>
      <c r="R33" s="31">
        <f t="shared" si="4"/>
        <v>224</v>
      </c>
    </row>
    <row r="34" spans="2:18" x14ac:dyDescent="0.3">
      <c r="B34" s="19" t="s">
        <v>38</v>
      </c>
      <c r="C34" s="26" t="s">
        <v>32</v>
      </c>
      <c r="D34" s="34">
        <f>SUM(D22:D26)+SUM(D29:D32)</f>
        <v>87740</v>
      </c>
      <c r="E34" s="34">
        <f>SUM(E22:E26)+SUM(E29:E32)</f>
        <v>802</v>
      </c>
      <c r="F34" s="35">
        <f>D34+E34</f>
        <v>88542</v>
      </c>
      <c r="G34" s="34">
        <f>SUM(G22:G26)+SUM(G29:G32)</f>
        <v>91366</v>
      </c>
      <c r="H34" s="34">
        <f>SUM(H22:H26)+SUM(H29:H32)</f>
        <v>18</v>
      </c>
      <c r="I34" s="35">
        <f>G34+H34</f>
        <v>91384</v>
      </c>
      <c r="J34" s="34">
        <f>SUM(J22:J26)+SUM(J29:J32)</f>
        <v>105857</v>
      </c>
      <c r="K34" s="34">
        <f>SUM(K22:K26)+SUM(K29:K32)</f>
        <v>0</v>
      </c>
      <c r="L34" s="35">
        <f>J34+K34</f>
        <v>105857</v>
      </c>
      <c r="M34" s="34">
        <f>SUM(M22:M26)+SUM(M29:M32)</f>
        <v>108313</v>
      </c>
      <c r="N34" s="34">
        <f>SUM(N22:N26)+SUM(N29:N32)</f>
        <v>0</v>
      </c>
      <c r="O34" s="35">
        <f>M34+N34</f>
        <v>108313</v>
      </c>
      <c r="P34" s="34">
        <f>SUM(P22:P26)+SUM(P29:P32)</f>
        <v>110135</v>
      </c>
      <c r="Q34" s="34">
        <f>SUM(Q22:Q26)+SUM(Q29:Q32)</f>
        <v>0</v>
      </c>
      <c r="R34" s="35">
        <f>P34+Q34</f>
        <v>110135</v>
      </c>
    </row>
    <row r="35" spans="2:18" x14ac:dyDescent="0.3">
      <c r="B35" s="19" t="s">
        <v>98</v>
      </c>
      <c r="C35" s="26" t="s">
        <v>115</v>
      </c>
      <c r="D35" s="34">
        <f>D21-D34</f>
        <v>-32220</v>
      </c>
      <c r="E35" s="34">
        <f>E21-E34</f>
        <v>66</v>
      </c>
      <c r="F35" s="35">
        <f t="shared" si="0"/>
        <v>-32154</v>
      </c>
      <c r="G35" s="34">
        <f>G21-G34</f>
        <v>-29986</v>
      </c>
      <c r="H35" s="34">
        <f>H21-H34</f>
        <v>0</v>
      </c>
      <c r="I35" s="35">
        <f t="shared" si="1"/>
        <v>-29986</v>
      </c>
      <c r="J35" s="34">
        <f>J21-J34</f>
        <v>-21040</v>
      </c>
      <c r="K35" s="34">
        <f>K21-K34</f>
        <v>40</v>
      </c>
      <c r="L35" s="35">
        <f t="shared" si="2"/>
        <v>-21000</v>
      </c>
      <c r="M35" s="34">
        <f>M21-M34</f>
        <v>-18731</v>
      </c>
      <c r="N35" s="34">
        <f>N21-N34</f>
        <v>38</v>
      </c>
      <c r="O35" s="35">
        <f t="shared" si="3"/>
        <v>-18693</v>
      </c>
      <c r="P35" s="34">
        <f>P21-P34</f>
        <v>-17228</v>
      </c>
      <c r="Q35" s="34">
        <f>Q21-Q34</f>
        <v>38</v>
      </c>
      <c r="R35" s="35">
        <f t="shared" si="4"/>
        <v>-17190</v>
      </c>
    </row>
    <row r="36" spans="2:18" x14ac:dyDescent="0.3">
      <c r="B36" s="19" t="s">
        <v>99</v>
      </c>
      <c r="C36" s="57" t="s">
        <v>94</v>
      </c>
      <c r="D36" s="34">
        <f>D34-D21</f>
        <v>32220</v>
      </c>
      <c r="E36" s="58"/>
      <c r="F36" s="35">
        <f t="shared" si="0"/>
        <v>32220</v>
      </c>
      <c r="G36" s="34">
        <f>G34-G21</f>
        <v>29986</v>
      </c>
      <c r="H36" s="58"/>
      <c r="I36" s="35">
        <f t="shared" si="1"/>
        <v>29986</v>
      </c>
      <c r="J36" s="34">
        <f>J34-J21</f>
        <v>21040</v>
      </c>
      <c r="K36" s="58"/>
      <c r="L36" s="35">
        <f t="shared" si="2"/>
        <v>21040</v>
      </c>
      <c r="M36" s="34">
        <f>M34-M21</f>
        <v>18731</v>
      </c>
      <c r="N36" s="58"/>
      <c r="O36" s="35">
        <f t="shared" si="3"/>
        <v>18731</v>
      </c>
      <c r="P36" s="34">
        <f>P34-P21</f>
        <v>17228</v>
      </c>
      <c r="Q36" s="58"/>
      <c r="R36" s="35">
        <f t="shared" si="4"/>
        <v>17228</v>
      </c>
    </row>
    <row r="37" spans="2:18" ht="15" thickBot="1" x14ac:dyDescent="0.35">
      <c r="B37" s="27" t="s">
        <v>100</v>
      </c>
      <c r="C37" s="40" t="s">
        <v>119</v>
      </c>
      <c r="D37" s="41">
        <f>D35+D36</f>
        <v>0</v>
      </c>
      <c r="E37" s="41">
        <f>E35+E36</f>
        <v>66</v>
      </c>
      <c r="F37" s="42">
        <f>D37+E37</f>
        <v>66</v>
      </c>
      <c r="G37" s="41">
        <f>G35+G36</f>
        <v>0</v>
      </c>
      <c r="H37" s="41">
        <f>H35+H36</f>
        <v>0</v>
      </c>
      <c r="I37" s="42">
        <f>G37+H37</f>
        <v>0</v>
      </c>
      <c r="J37" s="41">
        <f>J35+J36</f>
        <v>0</v>
      </c>
      <c r="K37" s="41">
        <f>K35+K36</f>
        <v>40</v>
      </c>
      <c r="L37" s="42">
        <f>J37+K37</f>
        <v>40</v>
      </c>
      <c r="M37" s="41">
        <f>M35+M36</f>
        <v>0</v>
      </c>
      <c r="N37" s="41">
        <f>N35+N36</f>
        <v>38</v>
      </c>
      <c r="O37" s="42">
        <f>M37+N37</f>
        <v>38</v>
      </c>
      <c r="P37" s="41">
        <f>P35+P36</f>
        <v>0</v>
      </c>
      <c r="Q37" s="41">
        <f>Q35+Q36</f>
        <v>38</v>
      </c>
      <c r="R37" s="42">
        <f>P37+Q37</f>
        <v>38</v>
      </c>
    </row>
    <row r="38" spans="2:18" x14ac:dyDescent="0.3">
      <c r="B38" s="49" t="s">
        <v>101</v>
      </c>
      <c r="C38" s="43" t="s">
        <v>35</v>
      </c>
      <c r="D38" s="44">
        <f>SUM(D39:D40)</f>
        <v>229</v>
      </c>
      <c r="E38" s="44">
        <f>SUM(E39:E40)</f>
        <v>0</v>
      </c>
      <c r="F38" s="45">
        <f t="shared" si="0"/>
        <v>229</v>
      </c>
      <c r="G38" s="44">
        <f>SUM(G39:G40)</f>
        <v>224</v>
      </c>
      <c r="H38" s="44">
        <f>SUM(H39:H40)</f>
        <v>0</v>
      </c>
      <c r="I38" s="45">
        <f t="shared" ref="I38:I41" si="6">G38+H38</f>
        <v>224</v>
      </c>
      <c r="J38" s="44">
        <f>SUM(J39:J40)</f>
        <v>223.6</v>
      </c>
      <c r="K38" s="44">
        <f>SUM(K39:K40)</f>
        <v>0</v>
      </c>
      <c r="L38" s="45">
        <f t="shared" ref="L38:L41" si="7">J38+K38</f>
        <v>223.6</v>
      </c>
      <c r="M38" s="44">
        <f>SUM(M39:M40)</f>
        <v>224</v>
      </c>
      <c r="N38" s="44">
        <f>SUM(N39:N40)</f>
        <v>0</v>
      </c>
      <c r="O38" s="45">
        <f t="shared" ref="O38:O41" si="8">M38+N38</f>
        <v>224</v>
      </c>
      <c r="P38" s="44">
        <f>SUM(P39:P40)</f>
        <v>224</v>
      </c>
      <c r="Q38" s="44">
        <f>SUM(Q39:Q40)</f>
        <v>0</v>
      </c>
      <c r="R38" s="45">
        <f t="shared" ref="R38:R41" si="9">P38+Q38</f>
        <v>224</v>
      </c>
    </row>
    <row r="39" spans="2:18" x14ac:dyDescent="0.3">
      <c r="B39" s="50" t="s">
        <v>116</v>
      </c>
      <c r="C39" s="24" t="s">
        <v>51</v>
      </c>
      <c r="D39" s="32"/>
      <c r="E39" s="33"/>
      <c r="F39" s="31">
        <f t="shared" si="0"/>
        <v>0</v>
      </c>
      <c r="G39" s="32"/>
      <c r="H39" s="33"/>
      <c r="I39" s="31">
        <f t="shared" si="6"/>
        <v>0</v>
      </c>
      <c r="J39" s="32"/>
      <c r="K39" s="33"/>
      <c r="L39" s="31">
        <f t="shared" si="7"/>
        <v>0</v>
      </c>
      <c r="M39" s="32"/>
      <c r="N39" s="33"/>
      <c r="O39" s="31">
        <f t="shared" si="8"/>
        <v>0</v>
      </c>
      <c r="P39" s="32"/>
      <c r="Q39" s="33"/>
      <c r="R39" s="31">
        <f t="shared" si="9"/>
        <v>0</v>
      </c>
    </row>
    <row r="40" spans="2:18" ht="15" thickBot="1" x14ac:dyDescent="0.35">
      <c r="B40" s="52" t="s">
        <v>117</v>
      </c>
      <c r="C40" s="46" t="s">
        <v>197</v>
      </c>
      <c r="D40" s="47">
        <v>229</v>
      </c>
      <c r="E40" s="48"/>
      <c r="F40" s="42">
        <f t="shared" si="0"/>
        <v>229</v>
      </c>
      <c r="G40" s="47">
        <v>224</v>
      </c>
      <c r="H40" s="48"/>
      <c r="I40" s="42">
        <f t="shared" si="6"/>
        <v>224</v>
      </c>
      <c r="J40" s="47">
        <v>223.6</v>
      </c>
      <c r="K40" s="48"/>
      <c r="L40" s="42">
        <f t="shared" si="7"/>
        <v>223.6</v>
      </c>
      <c r="M40" s="47">
        <v>224</v>
      </c>
      <c r="N40" s="48"/>
      <c r="O40" s="42">
        <f t="shared" si="8"/>
        <v>224</v>
      </c>
      <c r="P40" s="47">
        <v>224</v>
      </c>
      <c r="Q40" s="48"/>
      <c r="R40" s="42">
        <f t="shared" si="9"/>
        <v>224</v>
      </c>
    </row>
    <row r="41" spans="2:18" ht="15" thickBot="1" x14ac:dyDescent="0.35">
      <c r="B41" s="51" t="s">
        <v>118</v>
      </c>
      <c r="C41" s="28" t="s">
        <v>39</v>
      </c>
      <c r="D41" s="37"/>
      <c r="E41" s="38"/>
      <c r="F41" s="39">
        <f t="shared" si="0"/>
        <v>0</v>
      </c>
      <c r="G41" s="37"/>
      <c r="H41" s="38"/>
      <c r="I41" s="39">
        <f t="shared" si="6"/>
        <v>0</v>
      </c>
      <c r="J41" s="37"/>
      <c r="K41" s="38"/>
      <c r="L41" s="39">
        <f t="shared" si="7"/>
        <v>0</v>
      </c>
      <c r="M41" s="37"/>
      <c r="N41" s="38"/>
      <c r="O41" s="39">
        <f t="shared" si="8"/>
        <v>0</v>
      </c>
      <c r="P41" s="37"/>
      <c r="Q41" s="38"/>
      <c r="R41" s="39">
        <f t="shared" si="9"/>
        <v>0</v>
      </c>
    </row>
    <row r="42" spans="2:18" x14ac:dyDescent="0.3"/>
    <row r="43" spans="2:18" x14ac:dyDescent="0.3"/>
    <row r="44" spans="2:18" x14ac:dyDescent="0.3"/>
    <row r="45" spans="2:18" x14ac:dyDescent="0.3">
      <c r="B45" t="s">
        <v>198</v>
      </c>
      <c r="D45" t="s">
        <v>189</v>
      </c>
      <c r="J45" t="s">
        <v>54</v>
      </c>
    </row>
    <row r="46" spans="2:18" x14ac:dyDescent="0.3"/>
    <row r="47" spans="2:18" x14ac:dyDescent="0.3">
      <c r="B47" t="s">
        <v>199</v>
      </c>
      <c r="D47" t="s">
        <v>190</v>
      </c>
      <c r="J47" t="s">
        <v>54</v>
      </c>
    </row>
    <row r="48" spans="2:18" x14ac:dyDescent="0.3"/>
    <row r="49" x14ac:dyDescent="0.3"/>
    <row r="50" x14ac:dyDescent="0.3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</sheetData>
  <mergeCells count="7">
    <mergeCell ref="P10:R10"/>
    <mergeCell ref="M10:O10"/>
    <mergeCell ref="B10:B11"/>
    <mergeCell ref="C10:C11"/>
    <mergeCell ref="D10:F10"/>
    <mergeCell ref="G10:I10"/>
    <mergeCell ref="J10:L10"/>
  </mergeCells>
  <pageMargins left="0.7" right="0.7" top="0.78740157499999996" bottom="0.78740157499999996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Rozpočet PO</vt:lpstr>
      <vt:lpstr>Příloha rozpočet</vt:lpstr>
      <vt:lpstr>Střediska</vt:lpstr>
      <vt:lpstr>Střednědobý výhled hospod. PO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Ing. Romana Matějková</cp:lastModifiedBy>
  <cp:lastPrinted>2017-10-06T10:05:35Z</cp:lastPrinted>
  <dcterms:created xsi:type="dcterms:W3CDTF">2017-02-23T12:10:09Z</dcterms:created>
  <dcterms:modified xsi:type="dcterms:W3CDTF">2017-10-09T04:57:59Z</dcterms:modified>
</cp:coreProperties>
</file>