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Březen." sheetId="1" r:id="rId1"/>
  </sheets>
  <definedNames>
    <definedName name="_xlnm.Print_Area" localSheetId="0">'ZŠ Březen.'!$A$1:$AE$97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AA54" i="1" s="1"/>
  <c r="U54" i="1"/>
  <c r="O54" i="1"/>
  <c r="G54" i="1"/>
  <c r="AA53" i="1"/>
  <c r="U53" i="1"/>
  <c r="O53" i="1"/>
  <c r="G53" i="1"/>
  <c r="AA52" i="1"/>
  <c r="U52" i="1"/>
  <c r="O52" i="1"/>
  <c r="G52" i="1"/>
  <c r="AA51" i="1"/>
  <c r="U51" i="1"/>
  <c r="O51" i="1"/>
  <c r="O50" i="1" s="1"/>
  <c r="E51" i="1"/>
  <c r="G51" i="1" s="1"/>
  <c r="Z50" i="1"/>
  <c r="Y50" i="1"/>
  <c r="X50" i="1"/>
  <c r="AA50" i="1" s="1"/>
  <c r="T50" i="1"/>
  <c r="S50" i="1"/>
  <c r="R50" i="1"/>
  <c r="U50" i="1" s="1"/>
  <c r="N50" i="1"/>
  <c r="M50" i="1"/>
  <c r="L50" i="1"/>
  <c r="F50" i="1"/>
  <c r="E50" i="1"/>
  <c r="D50" i="1"/>
  <c r="G50" i="1" s="1"/>
  <c r="V39" i="1"/>
  <c r="T39" i="1"/>
  <c r="S39" i="1"/>
  <c r="R39" i="1"/>
  <c r="U39" i="1" s="1"/>
  <c r="P39" i="1"/>
  <c r="N39" i="1"/>
  <c r="M39" i="1"/>
  <c r="L39" i="1"/>
  <c r="O39" i="1" s="1"/>
  <c r="J39" i="1"/>
  <c r="Y38" i="1"/>
  <c r="AA38" i="1" s="1"/>
  <c r="AC38" i="1" s="1"/>
  <c r="AD38" i="1" s="1"/>
  <c r="X38" i="1"/>
  <c r="U38" i="1"/>
  <c r="W38" i="1" s="1"/>
  <c r="O38" i="1"/>
  <c r="Q38" i="1" s="1"/>
  <c r="E38" i="1"/>
  <c r="D38" i="1"/>
  <c r="D39" i="1" s="1"/>
  <c r="AA37" i="1"/>
  <c r="AC37" i="1" s="1"/>
  <c r="AD37" i="1" s="1"/>
  <c r="W37" i="1"/>
  <c r="U37" i="1"/>
  <c r="O37" i="1"/>
  <c r="Q37" i="1" s="1"/>
  <c r="K37" i="1"/>
  <c r="G37" i="1"/>
  <c r="AA36" i="1"/>
  <c r="AC36" i="1" s="1"/>
  <c r="U36" i="1"/>
  <c r="W36" i="1" s="1"/>
  <c r="O36" i="1"/>
  <c r="Q36" i="1" s="1"/>
  <c r="G36" i="1"/>
  <c r="K36" i="1" s="1"/>
  <c r="Y35" i="1"/>
  <c r="Y39" i="1" s="1"/>
  <c r="X35" i="1"/>
  <c r="X39" i="1" s="1"/>
  <c r="W35" i="1"/>
  <c r="U35" i="1"/>
  <c r="O35" i="1"/>
  <c r="Q35" i="1" s="1"/>
  <c r="E35" i="1"/>
  <c r="G35" i="1" s="1"/>
  <c r="K35" i="1" s="1"/>
  <c r="Y34" i="1"/>
  <c r="X34" i="1"/>
  <c r="AA34" i="1" s="1"/>
  <c r="AC34" i="1" s="1"/>
  <c r="W34" i="1"/>
  <c r="U34" i="1"/>
  <c r="O34" i="1"/>
  <c r="Q34" i="1" s="1"/>
  <c r="E34" i="1"/>
  <c r="G34" i="1" s="1"/>
  <c r="K34" i="1" s="1"/>
  <c r="AC33" i="1"/>
  <c r="AD33" i="1" s="1"/>
  <c r="AA33" i="1"/>
  <c r="Y33" i="1"/>
  <c r="U33" i="1"/>
  <c r="W33" i="1" s="1"/>
  <c r="Q33" i="1"/>
  <c r="O33" i="1"/>
  <c r="G33" i="1"/>
  <c r="K33" i="1" s="1"/>
  <c r="E33" i="1"/>
  <c r="AB32" i="1"/>
  <c r="AB39" i="1" s="1"/>
  <c r="Z32" i="1"/>
  <c r="Z39" i="1" s="1"/>
  <c r="Y32" i="1"/>
  <c r="X32" i="1"/>
  <c r="AA32" i="1" s="1"/>
  <c r="AC32" i="1" s="1"/>
  <c r="W32" i="1"/>
  <c r="U32" i="1"/>
  <c r="O32" i="1"/>
  <c r="Q32" i="1" s="1"/>
  <c r="F32" i="1"/>
  <c r="F39" i="1" s="1"/>
  <c r="E32" i="1"/>
  <c r="D32" i="1"/>
  <c r="G32" i="1" s="1"/>
  <c r="K32" i="1" s="1"/>
  <c r="AA31" i="1"/>
  <c r="AC31" i="1" s="1"/>
  <c r="AD31" i="1" s="1"/>
  <c r="Y31" i="1"/>
  <c r="X31" i="1"/>
  <c r="U31" i="1"/>
  <c r="W31" i="1" s="1"/>
  <c r="Q31" i="1"/>
  <c r="O31" i="1"/>
  <c r="G31" i="1"/>
  <c r="K31" i="1" s="1"/>
  <c r="X30" i="1"/>
  <c r="AA30" i="1" s="1"/>
  <c r="AC30" i="1" s="1"/>
  <c r="AD30" i="1" s="1"/>
  <c r="W30" i="1"/>
  <c r="U30" i="1"/>
  <c r="O30" i="1"/>
  <c r="Q30" i="1" s="1"/>
  <c r="K30" i="1"/>
  <c r="G30" i="1"/>
  <c r="AC29" i="1"/>
  <c r="AA29" i="1"/>
  <c r="Y29" i="1"/>
  <c r="X29" i="1"/>
  <c r="W29" i="1"/>
  <c r="U29" i="1"/>
  <c r="O29" i="1"/>
  <c r="Q29" i="1" s="1"/>
  <c r="G29" i="1"/>
  <c r="K29" i="1" s="1"/>
  <c r="E29" i="1"/>
  <c r="AA28" i="1"/>
  <c r="AC28" i="1" s="1"/>
  <c r="AD28" i="1" s="1"/>
  <c r="X28" i="1"/>
  <c r="U28" i="1"/>
  <c r="W28" i="1" s="1"/>
  <c r="Q28" i="1"/>
  <c r="O28" i="1"/>
  <c r="G28" i="1"/>
  <c r="K28" i="1" s="1"/>
  <c r="Z24" i="1"/>
  <c r="Z40" i="1" s="1"/>
  <c r="V24" i="1"/>
  <c r="V40" i="1" s="1"/>
  <c r="T24" i="1"/>
  <c r="T40" i="1" s="1"/>
  <c r="S24" i="1"/>
  <c r="S40" i="1" s="1"/>
  <c r="R24" i="1"/>
  <c r="R40" i="1" s="1"/>
  <c r="P24" i="1"/>
  <c r="P40" i="1" s="1"/>
  <c r="N24" i="1"/>
  <c r="N40" i="1" s="1"/>
  <c r="M24" i="1"/>
  <c r="M40" i="1" s="1"/>
  <c r="L24" i="1"/>
  <c r="L40" i="1" s="1"/>
  <c r="J24" i="1"/>
  <c r="J40" i="1" s="1"/>
  <c r="AA23" i="1"/>
  <c r="AC23" i="1" s="1"/>
  <c r="AD23" i="1" s="1"/>
  <c r="W23" i="1"/>
  <c r="U23" i="1"/>
  <c r="O23" i="1"/>
  <c r="Q23" i="1" s="1"/>
  <c r="K23" i="1"/>
  <c r="G23" i="1"/>
  <c r="AA22" i="1"/>
  <c r="AC22" i="1" s="1"/>
  <c r="AD22" i="1" s="1"/>
  <c r="U22" i="1"/>
  <c r="W22" i="1" s="1"/>
  <c r="O22" i="1"/>
  <c r="Q22" i="1" s="1"/>
  <c r="G22" i="1"/>
  <c r="K22" i="1" s="1"/>
  <c r="AC21" i="1"/>
  <c r="AD21" i="1" s="1"/>
  <c r="AA21" i="1"/>
  <c r="U21" i="1"/>
  <c r="W21" i="1" s="1"/>
  <c r="Q21" i="1"/>
  <c r="O21" i="1"/>
  <c r="G21" i="1"/>
  <c r="K21" i="1" s="1"/>
  <c r="AA20" i="1"/>
  <c r="AC20" i="1" s="1"/>
  <c r="U20" i="1"/>
  <c r="W20" i="1" s="1"/>
  <c r="O20" i="1"/>
  <c r="Q20" i="1" s="1"/>
  <c r="G20" i="1"/>
  <c r="K20" i="1" s="1"/>
  <c r="AA19" i="1"/>
  <c r="AC19" i="1" s="1"/>
  <c r="AD19" i="1" s="1"/>
  <c r="W19" i="1"/>
  <c r="U19" i="1"/>
  <c r="O19" i="1"/>
  <c r="Q19" i="1" s="1"/>
  <c r="K19" i="1"/>
  <c r="G19" i="1"/>
  <c r="AA18" i="1"/>
  <c r="AC18" i="1" s="1"/>
  <c r="AD18" i="1" s="1"/>
  <c r="Y18" i="1"/>
  <c r="Y24" i="1" s="1"/>
  <c r="Y40" i="1" s="1"/>
  <c r="U18" i="1"/>
  <c r="W18" i="1" s="1"/>
  <c r="Q18" i="1"/>
  <c r="O18" i="1"/>
  <c r="E18" i="1"/>
  <c r="E24" i="1" s="1"/>
  <c r="X17" i="1"/>
  <c r="AA17" i="1" s="1"/>
  <c r="AC17" i="1" s="1"/>
  <c r="U17" i="1"/>
  <c r="W17" i="1" s="1"/>
  <c r="O17" i="1"/>
  <c r="Q17" i="1" s="1"/>
  <c r="D17" i="1"/>
  <c r="G17" i="1" s="1"/>
  <c r="K17" i="1" s="1"/>
  <c r="X16" i="1"/>
  <c r="X24" i="1" s="1"/>
  <c r="W16" i="1"/>
  <c r="U16" i="1"/>
  <c r="O16" i="1"/>
  <c r="Q16" i="1" s="1"/>
  <c r="K16" i="1"/>
  <c r="G16" i="1"/>
  <c r="AB15" i="1"/>
  <c r="AB24" i="1" s="1"/>
  <c r="AB40" i="1" s="1"/>
  <c r="AA15" i="1"/>
  <c r="U15" i="1"/>
  <c r="W15" i="1" s="1"/>
  <c r="Q15" i="1"/>
  <c r="O15" i="1"/>
  <c r="F15" i="1"/>
  <c r="F24" i="1" s="1"/>
  <c r="F40" i="1" s="1"/>
  <c r="W39" i="1" l="1"/>
  <c r="AA39" i="1"/>
  <c r="Q24" i="1"/>
  <c r="AD17" i="1"/>
  <c r="AD20" i="1"/>
  <c r="Q39" i="1"/>
  <c r="AD36" i="1"/>
  <c r="W24" i="1"/>
  <c r="W40" i="1" s="1"/>
  <c r="W41" i="1" s="1"/>
  <c r="X40" i="1"/>
  <c r="AA24" i="1"/>
  <c r="AA40" i="1" s="1"/>
  <c r="AD29" i="1"/>
  <c r="AD32" i="1"/>
  <c r="AD34" i="1"/>
  <c r="AC15" i="1"/>
  <c r="U24" i="1"/>
  <c r="U40" i="1" s="1"/>
  <c r="G38" i="1"/>
  <c r="K38" i="1" s="1"/>
  <c r="K39" i="1" s="1"/>
  <c r="E39" i="1"/>
  <c r="E40" i="1" s="1"/>
  <c r="D24" i="1"/>
  <c r="AA35" i="1"/>
  <c r="AC35" i="1" s="1"/>
  <c r="G18" i="1"/>
  <c r="K18" i="1" s="1"/>
  <c r="O24" i="1"/>
  <c r="O40" i="1" s="1"/>
  <c r="G15" i="1"/>
  <c r="K15" i="1" s="1"/>
  <c r="AA16" i="1"/>
  <c r="AC16" i="1" s="1"/>
  <c r="AD16" i="1" s="1"/>
  <c r="G39" i="1" l="1"/>
  <c r="AD35" i="1"/>
  <c r="AC39" i="1"/>
  <c r="AD39" i="1" s="1"/>
  <c r="K24" i="1"/>
  <c r="K40" i="1" s="1"/>
  <c r="K41" i="1" s="1"/>
  <c r="D40" i="1"/>
  <c r="G24" i="1"/>
  <c r="G40" i="1" s="1"/>
  <c r="AD15" i="1"/>
  <c r="AC24" i="1"/>
  <c r="Q40" i="1"/>
  <c r="Q41" i="1" s="1"/>
  <c r="AC40" i="1" l="1"/>
  <c r="AD24" i="1"/>
  <c r="AC41" i="1" l="1"/>
  <c r="AD41" i="1" s="1"/>
  <c r="AD40" i="1"/>
</calcChain>
</file>

<file path=xl/comments1.xml><?xml version="1.0" encoding="utf-8"?>
<comments xmlns="http://schemas.openxmlformats.org/spreadsheetml/2006/main">
  <authors>
    <author>vbuchtova</author>
  </authors>
  <commentList>
    <comment ref="X16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do 2023 zakonponovat navýšení o UZ 705 z 2022</t>
        </r>
      </text>
    </comment>
    <comment ref="X17" authorId="0" shapeId="0">
      <text>
        <r>
          <rPr>
            <sz val="9"/>
            <color indexed="81"/>
            <rFont val="Tahoma"/>
            <family val="2"/>
            <charset val="238"/>
          </rPr>
          <t xml:space="preserve">UZ na 2023 podle MMCH
</t>
        </r>
      </text>
    </comment>
    <comment ref="Y18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po navýšení 5% pro PP i Nepp - SR + DohodySR+ 500 tis .NIV + NPO 14 - 4766,7 tis.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včetně úroků z poolu</t>
        </r>
      </text>
    </comment>
    <comment ref="X2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1/2 z UZ akce školy a prvence 19 tis a 38 tis
.,  A dílny z UZ 702 5.tis
</t>
        </r>
      </text>
    </comment>
    <comment ref="Y29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140 učebnice
+ NPO 14 - materiál 15 tis
</t>
        </r>
      </text>
    </comment>
    <comment ref="X31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1/2 UZ prevence a akce školy 46,2
( -3,8 nrdohledáno - prostě aby sedělo)
</t>
        </r>
      </text>
    </comment>
    <comment ref="Y31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95tis</t>
        </r>
      </text>
    </comment>
    <comment ref="Y33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31323,6+350 NP
NP 14 - PP 2913,4
</t>
        </r>
      </text>
    </comment>
    <comment ref="Y34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120 ze SR + dohody NPOP 14 - administr 333,6
</t>
        </r>
      </text>
    </comment>
    <comment ref="X35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z dohod + UZ 701+702 
</t>
        </r>
      </text>
    </comment>
    <comment ref="Y35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10618,7
NPO 14 - 984,7</t>
        </r>
      </text>
    </comment>
    <comment ref="Z36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srážková z účasti v pooll</t>
        </r>
      </text>
    </comment>
    <comment ref="X38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plus 5,9 z UZ 701+702
</t>
        </r>
      </text>
    </comment>
    <comment ref="Y38" authorId="0" shapeId="0">
      <text>
        <r>
          <rPr>
            <b/>
            <sz val="9"/>
            <color indexed="81"/>
            <rFont val="Tahoma"/>
            <family val="2"/>
            <charset val="238"/>
          </rPr>
          <t>vbuchtova:</t>
        </r>
        <r>
          <rPr>
            <sz val="9"/>
            <color indexed="81"/>
            <rFont val="Tahoma"/>
            <family val="2"/>
            <charset val="238"/>
          </rPr>
          <t xml:space="preserve">
sr - fksp 626,5 +365
bez transferů .- nevím co bude
+ NPO 14 - 58,3
+ NPO 14 pomůcky 183,7
+ 143,</t>
        </r>
      </text>
    </comment>
  </commentList>
</comments>
</file>

<file path=xl/sharedStrings.xml><?xml version="1.0" encoding="utf-8"?>
<sst xmlns="http://schemas.openxmlformats.org/spreadsheetml/2006/main" count="214" uniqueCount="126">
  <si>
    <t>Návrh rozpočtu 2023</t>
  </si>
  <si>
    <t>Název organizace:</t>
  </si>
  <si>
    <t>Základní škola Chomutov, Březenecká 4679</t>
  </si>
  <si>
    <t>IČO:</t>
  </si>
  <si>
    <t>Sídlo:</t>
  </si>
  <si>
    <t>Březenecká 4679, Chomutov 43004</t>
  </si>
  <si>
    <t xml:space="preserve">Poř.č. řádku </t>
  </si>
  <si>
    <t>Ukazatel</t>
  </si>
  <si>
    <t>Skutečnost k 31.12.2021</t>
  </si>
  <si>
    <t>Schválený rozpočet (plán NaV 2022)</t>
  </si>
  <si>
    <t>Skutečnost k 30.6.2022</t>
  </si>
  <si>
    <t>Plán 2023 (návrh rozpočtu organizace) po jednání 14.10.2022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</si>
  <si>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</si>
  <si>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</si>
  <si>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</si>
  <si>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</si>
  <si>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</si>
  <si>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</si>
  <si>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</si>
  <si>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</si>
  <si>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</si>
  <si>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</si>
  <si>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</si>
  <si>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</si>
  <si>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</si>
  <si>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</si>
  <si>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</si>
  <si>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</si>
  <si>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</si>
  <si>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</si>
  <si>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</si>
  <si>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</si>
  <si>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</si>
  <si>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</si>
  <si>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</si>
  <si>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</si>
  <si>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</si>
  <si>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</si>
  <si>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</si>
  <si>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</si>
  <si>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</si>
  <si>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</si>
  <si>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</si>
  <si>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</si>
  <si>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</si>
  <si>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</si>
  <si>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</si>
  <si>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</si>
  <si>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</si>
  <si>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</si>
  <si>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</si>
  <si>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</si>
  <si>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</si>
  <si>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</si>
  <si>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</si>
  <si>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</si>
  <si>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</si>
  <si>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</si>
  <si>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</si>
  <si>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</si>
  <si>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</si>
  <si>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</si>
  <si>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</si>
  <si>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</si>
  <si>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</si>
  <si>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</si>
  <si>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</si>
  <si>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</si>
  <si>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</si>
  <si>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</si>
  <si>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</si>
  <si>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</si>
  <si>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</si>
  <si>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</si>
  <si>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</si>
  <si>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</si>
  <si>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</si>
  <si>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</si>
  <si>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</si>
  <si>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</si>
  <si>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</si>
  <si>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</si>
  <si>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</si>
  <si>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</si>
  <si>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</si>
  <si>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</si>
  <si>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</si>
  <si>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</si>
  <si>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</si>
  <si>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</si>
  <si>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</si>
  <si>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k 30.6.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</si>
  <si>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</si>
  <si>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</si>
  <si>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</si>
  <si>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</si>
  <si>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</si>
  <si>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</si>
  <si>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</si>
  <si>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</si>
  <si>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</si>
  <si>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</si>
  <si>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</si>
  <si>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</si>
  <si>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 xml:space="preserve">rozpočet na rok 2023 vychází z projednaného rozpočtu dne 14.10. </t>
  </si>
  <si>
    <t xml:space="preserve">ostatní transfery, hlavní činnost a doplňková činost počítá s hodnotami kvalifikovaného odhadu ze znáných skutečností k datu vyhotovení </t>
  </si>
  <si>
    <t>navýšení nákladových položek rozpočtu v roce 2023 jednotlivě  :</t>
  </si>
  <si>
    <t>551 - odpisy - navýšení oproti rozpočtu 2022 o pořízený konvektomat  9/2022 - navýšení o 130 tis.</t>
  </si>
  <si>
    <t>521 - mzdy dohody na správce hřiště - navýšení v oblasti mezd z dohod v částce 70,- tis. oproti rozpočtu 2022</t>
  </si>
  <si>
    <t>Po projednání rozpočtu dne 14.10.2022 bylo dojednáno</t>
  </si>
  <si>
    <t xml:space="preserve">502 - v provozním příspěvku je započítáno zvýšení na energie podle výše provozního rozpočtu z roku  2022  o částku 344,7 tis. z UZ 705 </t>
  </si>
  <si>
    <t>501 -  po projednání bylo schváleno navýšení o 100 tis. z důvodů zvýšených cen materiálu</t>
  </si>
  <si>
    <t xml:space="preserve">518 - po projednání navýšení o 100 tis. z důvodů zvýšení cen a  zvýšení náročnosti služeb : zejména na údržbu navýšeného počtu IT pomůcek  a dále služeb komunálního odpadu </t>
  </si>
  <si>
    <t>Rozdělení UZ 705 (na energie)z roku 2022 po jednání dne 14.10.2022 :</t>
  </si>
  <si>
    <t>celková částka  1 344 700,- Kč</t>
  </si>
  <si>
    <t xml:space="preserve">  - snížení o 800 000,-  nároku pro rok 2023 = zůstatek pro rok 2023 činí 544 700,- Kč</t>
  </si>
  <si>
    <t xml:space="preserve">                                             z toho :  </t>
  </si>
  <si>
    <t xml:space="preserve">                                           100 tis .  Posílení položky materiál </t>
  </si>
  <si>
    <t xml:space="preserve">                                           100 tis .  Posílení položky služby </t>
  </si>
  <si>
    <t xml:space="preserve">                                           344,7 tis .  Posílení položky energií </t>
  </si>
  <si>
    <t>Dne:</t>
  </si>
  <si>
    <t xml:space="preserve">Sestavil: </t>
  </si>
  <si>
    <t>Bc. Michaela Adamová</t>
  </si>
  <si>
    <t xml:space="preserve">Schválil: </t>
  </si>
  <si>
    <t>Ing. Vladimíra Nováková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</si>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</sst>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41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3" fillId="2" borderId="0" xfId="0" applyFont="1" applyFill="1"/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2" borderId="0" xfId="0" applyFont="1" applyFill="1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0" fillId="0" borderId="19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/>
    </xf>
    <xf numFmtId="10" fontId="2" fillId="0" borderId="24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/>
    <xf numFmtId="165" fontId="4" fillId="7" borderId="28" xfId="0" applyNumberFormat="1" applyFont="1" applyFill="1" applyBorder="1" applyAlignment="1">
      <alignment horizontal="right"/>
    </xf>
    <xf numFmtId="165" fontId="4" fillId="7" borderId="29" xfId="0" applyNumberFormat="1" applyFont="1" applyFill="1" applyBorder="1" applyAlignment="1">
      <alignment horizontal="right"/>
    </xf>
    <xf numFmtId="165" fontId="4" fillId="0" borderId="29" xfId="0" applyNumberFormat="1" applyFont="1" applyBorder="1" applyAlignment="1" applyProtection="1">
      <alignment horizontal="right"/>
      <protection locked="0"/>
    </xf>
    <xf numFmtId="165" fontId="4" fillId="0" borderId="30" xfId="0" applyNumberFormat="1" applyFont="1" applyBorder="1" applyAlignment="1" applyProtection="1">
      <alignment horizontal="right"/>
      <protection locked="0"/>
    </xf>
    <xf numFmtId="165" fontId="4" fillId="8" borderId="31" xfId="0" applyNumberFormat="1" applyFont="1" applyFill="1" applyBorder="1" applyAlignment="1" applyProtection="1">
      <alignment horizontal="right"/>
      <protection locked="0"/>
    </xf>
    <xf numFmtId="165" fontId="4" fillId="8" borderId="32" xfId="0" applyNumberFormat="1" applyFont="1" applyFill="1" applyBorder="1" applyAlignment="1" applyProtection="1">
      <alignment horizontal="right"/>
      <protection locked="0"/>
    </xf>
    <xf numFmtId="165" fontId="4" fillId="0" borderId="33" xfId="0" applyNumberFormat="1" applyFont="1" applyBorder="1" applyAlignment="1" applyProtection="1">
      <alignment horizontal="right"/>
      <protection locked="0"/>
    </xf>
    <xf numFmtId="165" fontId="4" fillId="0" borderId="33" xfId="0" applyNumberFormat="1" applyFont="1" applyBorder="1" applyAlignment="1">
      <alignment horizontal="right"/>
    </xf>
    <xf numFmtId="10" fontId="4" fillId="0" borderId="33" xfId="0" applyNumberFormat="1" applyFont="1" applyBorder="1"/>
    <xf numFmtId="0" fontId="0" fillId="0" borderId="34" xfId="0" applyBorder="1" applyAlignment="1">
      <alignment horizontal="center"/>
    </xf>
    <xf numFmtId="0" fontId="0" fillId="9" borderId="35" xfId="0" applyFill="1" applyBorder="1"/>
    <xf numFmtId="165" fontId="4" fillId="9" borderId="34" xfId="0" applyNumberFormat="1" applyFont="1" applyFill="1" applyBorder="1" applyAlignment="1" applyProtection="1">
      <alignment horizontal="right"/>
      <protection locked="0"/>
    </xf>
    <xf numFmtId="165" fontId="4" fillId="7" borderId="36" xfId="0" applyNumberFormat="1" applyFont="1" applyFill="1" applyBorder="1" applyAlignment="1">
      <alignment horizontal="right"/>
    </xf>
    <xf numFmtId="165" fontId="4" fillId="10" borderId="33" xfId="0" applyNumberFormat="1" applyFont="1" applyFill="1" applyBorder="1" applyAlignment="1" applyProtection="1">
      <alignment horizontal="right"/>
      <protection locked="0"/>
    </xf>
    <xf numFmtId="165" fontId="4" fillId="0" borderId="37" xfId="0" applyNumberFormat="1" applyFont="1" applyBorder="1" applyAlignment="1" applyProtection="1">
      <alignment horizontal="right"/>
      <protection locked="0"/>
    </xf>
    <xf numFmtId="165" fontId="4" fillId="3" borderId="34" xfId="0" applyNumberFormat="1" applyFont="1" applyFill="1" applyBorder="1" applyAlignment="1" applyProtection="1">
      <alignment horizontal="right"/>
      <protection locked="0"/>
    </xf>
    <xf numFmtId="0" fontId="4" fillId="11" borderId="35" xfId="0" applyFont="1" applyFill="1" applyBorder="1"/>
    <xf numFmtId="165" fontId="4" fillId="11" borderId="34" xfId="0" applyNumberFormat="1" applyFont="1" applyFill="1" applyBorder="1" applyAlignment="1" applyProtection="1">
      <alignment horizontal="right"/>
      <protection locked="0"/>
    </xf>
    <xf numFmtId="165" fontId="4" fillId="10" borderId="38" xfId="0" applyNumberFormat="1" applyFont="1" applyFill="1" applyBorder="1" applyAlignment="1" applyProtection="1">
      <alignment horizontal="right"/>
      <protection locked="0"/>
    </xf>
    <xf numFmtId="0" fontId="4" fillId="0" borderId="35" xfId="0" applyFont="1" applyBorder="1" applyAlignment="1">
      <alignment horizontal="left"/>
    </xf>
    <xf numFmtId="165" fontId="4" fillId="7" borderId="34" xfId="0" applyNumberFormat="1" applyFont="1" applyFill="1" applyBorder="1" applyAlignment="1">
      <alignment horizontal="right"/>
    </xf>
    <xf numFmtId="165" fontId="4" fillId="0" borderId="36" xfId="0" applyNumberFormat="1" applyFont="1" applyBorder="1" applyAlignment="1" applyProtection="1">
      <alignment horizontal="right"/>
      <protection locked="0"/>
    </xf>
    <xf numFmtId="0" fontId="4" fillId="0" borderId="35" xfId="0" applyFont="1" applyBorder="1"/>
    <xf numFmtId="0" fontId="7" fillId="0" borderId="35" xfId="0" applyFont="1" applyBorder="1"/>
    <xf numFmtId="0" fontId="0" fillId="0" borderId="35" xfId="0" applyBorder="1"/>
    <xf numFmtId="165" fontId="4" fillId="8" borderId="39" xfId="0" applyNumberFormat="1" applyFont="1" applyFill="1" applyBorder="1" applyAlignment="1" applyProtection="1">
      <alignment horizontal="right"/>
      <protection locked="0"/>
    </xf>
    <xf numFmtId="165" fontId="4" fillId="0" borderId="38" xfId="0" applyNumberFormat="1" applyFont="1" applyBorder="1" applyAlignment="1" applyProtection="1">
      <alignment horizontal="right"/>
      <protection locked="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left" indent="5"/>
    </xf>
    <xf numFmtId="165" fontId="4" fillId="7" borderId="42" xfId="0" applyNumberFormat="1" applyFont="1" applyFill="1" applyBorder="1" applyAlignment="1">
      <alignment horizontal="right"/>
    </xf>
    <xf numFmtId="165" fontId="4" fillId="7" borderId="43" xfId="0" applyNumberFormat="1" applyFont="1" applyFill="1" applyBorder="1" applyAlignment="1">
      <alignment horizontal="right"/>
    </xf>
    <xf numFmtId="165" fontId="4" fillId="0" borderId="43" xfId="0" applyNumberFormat="1" applyFont="1" applyBorder="1" applyAlignment="1" applyProtection="1">
      <alignment horizontal="right"/>
      <protection locked="0"/>
    </xf>
    <xf numFmtId="165" fontId="4" fillId="8" borderId="44" xfId="0" applyNumberFormat="1" applyFont="1" applyFill="1" applyBorder="1" applyAlignment="1" applyProtection="1">
      <alignment horizontal="right"/>
      <protection locked="0"/>
    </xf>
    <xf numFmtId="165" fontId="4" fillId="0" borderId="45" xfId="0" applyNumberFormat="1" applyFont="1" applyBorder="1" applyAlignment="1" applyProtection="1">
      <alignment horizontal="right"/>
      <protection locked="0"/>
    </xf>
    <xf numFmtId="165" fontId="4" fillId="0" borderId="13" xfId="0" applyNumberFormat="1" applyFont="1" applyBorder="1" applyAlignment="1">
      <alignment horizontal="right"/>
    </xf>
    <xf numFmtId="165" fontId="4" fillId="0" borderId="46" xfId="0" applyNumberFormat="1" applyFont="1" applyBorder="1" applyAlignment="1" applyProtection="1">
      <alignment horizontal="right"/>
      <protection locked="0"/>
    </xf>
    <xf numFmtId="10" fontId="4" fillId="0" borderId="13" xfId="0" applyNumberFormat="1" applyFont="1" applyBorder="1"/>
    <xf numFmtId="0" fontId="2" fillId="0" borderId="47" xfId="0" applyFont="1" applyBorder="1" applyAlignment="1">
      <alignment horizontal="center"/>
    </xf>
    <xf numFmtId="0" fontId="2" fillId="5" borderId="12" xfId="0" applyFont="1" applyFill="1" applyBorder="1"/>
    <xf numFmtId="165" fontId="8" fillId="5" borderId="1" xfId="0" applyNumberFormat="1" applyFont="1" applyFill="1" applyBorder="1" applyAlignment="1">
      <alignment horizontal="right"/>
    </xf>
    <xf numFmtId="165" fontId="8" fillId="5" borderId="10" xfId="0" applyNumberFormat="1" applyFont="1" applyFill="1" applyBorder="1" applyAlignment="1">
      <alignment horizontal="right"/>
    </xf>
    <xf numFmtId="165" fontId="8" fillId="5" borderId="11" xfId="0" applyNumberFormat="1" applyFont="1" applyFill="1" applyBorder="1" applyAlignment="1">
      <alignment horizontal="right"/>
    </xf>
    <xf numFmtId="165" fontId="8" fillId="5" borderId="16" xfId="0" applyNumberFormat="1" applyFont="1" applyFill="1" applyBorder="1" applyAlignment="1">
      <alignment horizontal="right"/>
    </xf>
    <xf numFmtId="165" fontId="8" fillId="5" borderId="17" xfId="0" applyNumberFormat="1" applyFont="1" applyFill="1" applyBorder="1" applyAlignment="1">
      <alignment horizontal="right"/>
    </xf>
    <xf numFmtId="165" fontId="8" fillId="5" borderId="6" xfId="0" applyNumberFormat="1" applyFont="1" applyFill="1" applyBorder="1" applyAlignment="1">
      <alignment horizontal="right"/>
    </xf>
    <xf numFmtId="10" fontId="4" fillId="5" borderId="47" xfId="0" applyNumberFormat="1" applyFont="1" applyFill="1" applyBorder="1"/>
    <xf numFmtId="0" fontId="0" fillId="6" borderId="48" xfId="0" applyFill="1" applyBorder="1" applyAlignment="1">
      <alignment horizontal="center"/>
    </xf>
    <xf numFmtId="0" fontId="2" fillId="6" borderId="12" xfId="0" applyFont="1" applyFill="1" applyBorder="1"/>
    <xf numFmtId="165" fontId="8" fillId="11" borderId="15" xfId="0" applyNumberFormat="1" applyFont="1" applyFill="1" applyBorder="1" applyAlignment="1">
      <alignment horizontal="center"/>
    </xf>
    <xf numFmtId="165" fontId="8" fillId="11" borderId="16" xfId="0" applyNumberFormat="1" applyFont="1" applyFill="1" applyBorder="1" applyAlignment="1">
      <alignment horizontal="center"/>
    </xf>
    <xf numFmtId="165" fontId="8" fillId="11" borderId="12" xfId="0" applyNumberFormat="1" applyFont="1" applyFill="1" applyBorder="1" applyAlignment="1">
      <alignment horizontal="center"/>
    </xf>
    <xf numFmtId="165" fontId="8" fillId="11" borderId="21" xfId="0" applyNumberFormat="1" applyFont="1" applyFill="1" applyBorder="1" applyAlignment="1">
      <alignment horizontal="center"/>
    </xf>
    <xf numFmtId="10" fontId="8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4" fillId="0" borderId="11" xfId="0" applyNumberFormat="1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0" fillId="0" borderId="2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0" fontId="8" fillId="0" borderId="24" xfId="0" applyNumberFormat="1" applyFont="1" applyBorder="1" applyAlignment="1">
      <alignment horizontal="center" vertical="center" wrapText="1"/>
    </xf>
    <xf numFmtId="165" fontId="4" fillId="0" borderId="50" xfId="0" applyNumberFormat="1" applyFont="1" applyBorder="1" applyProtection="1">
      <protection locked="0"/>
    </xf>
    <xf numFmtId="165" fontId="4" fillId="0" borderId="51" xfId="0" applyNumberFormat="1" applyFont="1" applyBorder="1" applyProtection="1">
      <protection locked="0"/>
    </xf>
    <xf numFmtId="165" fontId="4" fillId="8" borderId="51" xfId="0" applyNumberFormat="1" applyFont="1" applyFill="1" applyBorder="1" applyProtection="1">
      <protection locked="0"/>
    </xf>
    <xf numFmtId="165" fontId="4" fillId="8" borderId="52" xfId="0" applyNumberFormat="1" applyFont="1" applyFill="1" applyBorder="1" applyProtection="1">
      <protection locked="0"/>
    </xf>
    <xf numFmtId="165" fontId="4" fillId="0" borderId="52" xfId="0" applyNumberFormat="1" applyFont="1" applyBorder="1" applyProtection="1">
      <protection locked="0"/>
    </xf>
    <xf numFmtId="165" fontId="4" fillId="0" borderId="53" xfId="0" applyNumberFormat="1" applyFont="1" applyBorder="1" applyAlignment="1">
      <alignment horizontal="right"/>
    </xf>
    <xf numFmtId="165" fontId="4" fillId="0" borderId="26" xfId="0" applyNumberFormat="1" applyFont="1" applyBorder="1" applyProtection="1">
      <protection locked="0"/>
    </xf>
    <xf numFmtId="165" fontId="4" fillId="0" borderId="54" xfId="0" applyNumberFormat="1" applyFont="1" applyBorder="1" applyProtection="1">
      <protection locked="0"/>
    </xf>
    <xf numFmtId="165" fontId="4" fillId="0" borderId="39" xfId="0" applyNumberFormat="1" applyFont="1" applyBorder="1" applyProtection="1">
      <protection locked="0"/>
    </xf>
    <xf numFmtId="165" fontId="4" fillId="8" borderId="39" xfId="0" applyNumberFormat="1" applyFont="1" applyFill="1" applyBorder="1" applyProtection="1">
      <protection locked="0"/>
    </xf>
    <xf numFmtId="165" fontId="4" fillId="8" borderId="55" xfId="0" applyNumberFormat="1" applyFont="1" applyFill="1" applyBorder="1" applyProtection="1">
      <protection locked="0"/>
    </xf>
    <xf numFmtId="165" fontId="4" fillId="0" borderId="55" xfId="0" applyNumberFormat="1" applyFont="1" applyBorder="1" applyProtection="1">
      <protection locked="0"/>
    </xf>
    <xf numFmtId="165" fontId="4" fillId="0" borderId="34" xfId="0" applyNumberFormat="1" applyFont="1" applyBorder="1" applyProtection="1">
      <protection locked="0"/>
    </xf>
    <xf numFmtId="165" fontId="4" fillId="3" borderId="26" xfId="0" applyNumberFormat="1" applyFont="1" applyFill="1" applyBorder="1" applyProtection="1">
      <protection locked="0"/>
    </xf>
    <xf numFmtId="165" fontId="4" fillId="3" borderId="34" xfId="0" applyNumberFormat="1" applyFont="1" applyFill="1" applyBorder="1" applyProtection="1">
      <protection locked="0"/>
    </xf>
    <xf numFmtId="0" fontId="4" fillId="0" borderId="54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35" xfId="0" applyFont="1" applyBorder="1" applyAlignment="1">
      <alignment horizontal="left" indent="5"/>
    </xf>
    <xf numFmtId="0" fontId="0" fillId="0" borderId="42" xfId="0" applyBorder="1" applyAlignment="1">
      <alignment horizontal="center"/>
    </xf>
    <xf numFmtId="0" fontId="0" fillId="0" borderId="56" xfId="0" applyBorder="1"/>
    <xf numFmtId="165" fontId="4" fillId="0" borderId="57" xfId="0" applyNumberFormat="1" applyFont="1" applyBorder="1" applyProtection="1">
      <protection locked="0"/>
    </xf>
    <xf numFmtId="165" fontId="4" fillId="8" borderId="44" xfId="0" applyNumberFormat="1" applyFont="1" applyFill="1" applyBorder="1" applyProtection="1">
      <protection locked="0"/>
    </xf>
    <xf numFmtId="165" fontId="4" fillId="8" borderId="58" xfId="0" applyNumberFormat="1" applyFont="1" applyFill="1" applyBorder="1" applyProtection="1">
      <protection locked="0"/>
    </xf>
    <xf numFmtId="165" fontId="4" fillId="0" borderId="58" xfId="0" applyNumberFormat="1" applyFont="1" applyBorder="1" applyProtection="1">
      <protection locked="0"/>
    </xf>
    <xf numFmtId="165" fontId="4" fillId="0" borderId="42" xfId="0" applyNumberFormat="1" applyFont="1" applyBorder="1" applyProtection="1">
      <protection locked="0"/>
    </xf>
    <xf numFmtId="0" fontId="2" fillId="11" borderId="15" xfId="0" applyFont="1" applyFill="1" applyBorder="1"/>
    <xf numFmtId="165" fontId="8" fillId="11" borderId="20" xfId="0" applyNumberFormat="1" applyFont="1" applyFill="1" applyBorder="1"/>
    <xf numFmtId="165" fontId="4" fillId="11" borderId="51" xfId="0" applyNumberFormat="1" applyFont="1" applyFill="1" applyBorder="1" applyProtection="1">
      <protection locked="0"/>
    </xf>
    <xf numFmtId="165" fontId="4" fillId="11" borderId="12" xfId="0" applyNumberFormat="1" applyFont="1" applyFill="1" applyBorder="1" applyProtection="1">
      <protection locked="0"/>
    </xf>
    <xf numFmtId="165" fontId="4" fillId="11" borderId="21" xfId="0" applyNumberFormat="1" applyFont="1" applyFill="1" applyBorder="1" applyProtection="1">
      <protection locked="0"/>
    </xf>
    <xf numFmtId="165" fontId="8" fillId="11" borderId="17" xfId="0" applyNumberFormat="1" applyFont="1" applyFill="1" applyBorder="1"/>
    <xf numFmtId="165" fontId="8" fillId="11" borderId="47" xfId="0" applyNumberFormat="1" applyFont="1" applyFill="1" applyBorder="1"/>
    <xf numFmtId="165" fontId="4" fillId="11" borderId="52" xfId="0" applyNumberFormat="1" applyFont="1" applyFill="1" applyBorder="1" applyProtection="1">
      <protection locked="0"/>
    </xf>
    <xf numFmtId="10" fontId="4" fillId="11" borderId="47" xfId="0" applyNumberFormat="1" applyFont="1" applyFill="1" applyBorder="1"/>
    <xf numFmtId="0" fontId="5" fillId="0" borderId="59" xfId="0" applyFont="1" applyBorder="1" applyAlignment="1">
      <alignment horizontal="center"/>
    </xf>
    <xf numFmtId="0" fontId="5" fillId="12" borderId="59" xfId="0" applyFont="1" applyFill="1" applyBorder="1" applyAlignment="1">
      <alignment horizontal="left"/>
    </xf>
    <xf numFmtId="166" fontId="5" fillId="12" borderId="59" xfId="0" applyNumberFormat="1" applyFont="1" applyFill="1" applyBorder="1"/>
    <xf numFmtId="166" fontId="11" fillId="13" borderId="59" xfId="0" applyNumberFormat="1" applyFont="1" applyFill="1" applyBorder="1"/>
    <xf numFmtId="166" fontId="11" fillId="13" borderId="44" xfId="0" applyNumberFormat="1" applyFont="1" applyFill="1" applyBorder="1"/>
    <xf numFmtId="166" fontId="11" fillId="13" borderId="6" xfId="0" applyNumberFormat="1" applyFont="1" applyFill="1" applyBorder="1"/>
    <xf numFmtId="10" fontId="1" fillId="13" borderId="33" xfId="0" applyNumberFormat="1" applyFont="1" applyFill="1" applyBorder="1"/>
    <xf numFmtId="0" fontId="12" fillId="0" borderId="15" xfId="0" applyFont="1" applyBorder="1" applyAlignment="1">
      <alignment horizontal="center"/>
    </xf>
    <xf numFmtId="0" fontId="12" fillId="0" borderId="15" xfId="0" applyFont="1" applyBorder="1"/>
    <xf numFmtId="165" fontId="13" fillId="6" borderId="20" xfId="0" applyNumberFormat="1" applyFont="1" applyFill="1" applyBorder="1" applyAlignment="1">
      <alignment horizontal="center"/>
    </xf>
    <xf numFmtId="165" fontId="13" fillId="6" borderId="4" xfId="0" applyNumberFormat="1" applyFont="1" applyFill="1" applyBorder="1"/>
    <xf numFmtId="0" fontId="12" fillId="6" borderId="49" xfId="0" applyFont="1" applyFill="1" applyBorder="1"/>
    <xf numFmtId="0" fontId="12" fillId="6" borderId="16" xfId="0" applyFont="1" applyFill="1" applyBorder="1"/>
    <xf numFmtId="165" fontId="13" fillId="6" borderId="49" xfId="0" applyNumberFormat="1" applyFont="1" applyFill="1" applyBorder="1"/>
    <xf numFmtId="166" fontId="12" fillId="14" borderId="47" xfId="0" applyNumberFormat="1" applyFont="1" applyFill="1" applyBorder="1"/>
    <xf numFmtId="0" fontId="12" fillId="6" borderId="4" xfId="0" applyFont="1" applyFill="1" applyBorder="1"/>
    <xf numFmtId="165" fontId="13" fillId="6" borderId="5" xfId="0" applyNumberFormat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/>
    <xf numFmtId="0" fontId="2" fillId="15" borderId="48" xfId="0" applyFont="1" applyFill="1" applyBorder="1" applyAlignment="1">
      <alignment horizontal="left" vertical="center"/>
    </xf>
    <xf numFmtId="165" fontId="2" fillId="6" borderId="20" xfId="0" applyNumberFormat="1" applyFont="1" applyFill="1" applyBorder="1" applyProtection="1">
      <protection locked="0"/>
    </xf>
    <xf numFmtId="165" fontId="2" fillId="6" borderId="4" xfId="0" applyNumberFormat="1" applyFont="1" applyFill="1" applyBorder="1"/>
    <xf numFmtId="165" fontId="2" fillId="6" borderId="5" xfId="0" applyNumberFormat="1" applyFont="1" applyFill="1" applyBorder="1"/>
    <xf numFmtId="165" fontId="13" fillId="2" borderId="0" xfId="0" applyNumberFormat="1" applyFont="1" applyFill="1" applyAlignment="1">
      <alignment horizontal="right"/>
    </xf>
    <xf numFmtId="0" fontId="2" fillId="15" borderId="60" xfId="0" applyFont="1" applyFill="1" applyBorder="1" applyAlignment="1">
      <alignment horizontal="left" vertical="center"/>
    </xf>
    <xf numFmtId="165" fontId="8" fillId="0" borderId="18" xfId="0" applyNumberFormat="1" applyFont="1" applyBorder="1" applyProtection="1">
      <protection locked="0"/>
    </xf>
    <xf numFmtId="165" fontId="8" fillId="0" borderId="61" xfId="0" applyNumberFormat="1" applyFont="1" applyBorder="1" applyProtection="1">
      <protection locked="0"/>
    </xf>
    <xf numFmtId="165" fontId="8" fillId="0" borderId="25" xfId="0" applyNumberFormat="1" applyFont="1" applyBorder="1" applyProtection="1">
      <protection locked="0"/>
    </xf>
    <xf numFmtId="165" fontId="8" fillId="2" borderId="0" xfId="0" applyNumberFormat="1" applyFont="1" applyFill="1"/>
    <xf numFmtId="165" fontId="14" fillId="2" borderId="0" xfId="0" applyNumberFormat="1" applyFont="1" applyFill="1" applyAlignment="1">
      <alignment horizontal="right"/>
    </xf>
    <xf numFmtId="165" fontId="8" fillId="2" borderId="0" xfId="0" applyNumberFormat="1" applyFont="1" applyFill="1" applyProtection="1">
      <protection locked="0"/>
    </xf>
    <xf numFmtId="165" fontId="15" fillId="6" borderId="20" xfId="0" applyNumberFormat="1" applyFont="1" applyFill="1" applyBorder="1" applyAlignment="1" applyProtection="1">
      <alignment horizontal="center" wrapText="1"/>
      <protection locked="0"/>
    </xf>
    <xf numFmtId="165" fontId="15" fillId="6" borderId="5" xfId="0" applyNumberFormat="1" applyFont="1" applyFill="1" applyBorder="1" applyAlignment="1">
      <alignment horizontal="center" wrapText="1"/>
    </xf>
    <xf numFmtId="165" fontId="15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15" borderId="24" xfId="0" applyFont="1" applyFill="1" applyBorder="1" applyAlignment="1">
      <alignment horizontal="left" vertical="center"/>
    </xf>
    <xf numFmtId="165" fontId="8" fillId="0" borderId="23" xfId="0" applyNumberFormat="1" applyFont="1" applyBorder="1" applyProtection="1">
      <protection locked="0"/>
    </xf>
    <xf numFmtId="165" fontId="8" fillId="2" borderId="0" xfId="0" applyNumberFormat="1" applyFont="1" applyFill="1" applyAlignment="1" applyProtection="1">
      <alignment horizontal="right"/>
      <protection locked="0"/>
    </xf>
    <xf numFmtId="0" fontId="2" fillId="15" borderId="36" xfId="0" applyFont="1" applyFill="1" applyBorder="1"/>
    <xf numFmtId="165" fontId="8" fillId="15" borderId="36" xfId="0" applyNumberFormat="1" applyFont="1" applyFill="1" applyBorder="1" applyAlignment="1">
      <alignment horizontal="center"/>
    </xf>
    <xf numFmtId="0" fontId="2" fillId="0" borderId="36" xfId="0" applyFont="1" applyBorder="1"/>
    <xf numFmtId="165" fontId="8" fillId="0" borderId="36" xfId="0" applyNumberFormat="1" applyFont="1" applyBorder="1" applyAlignment="1" applyProtection="1">
      <alignment horizontal="right"/>
      <protection locked="0"/>
    </xf>
    <xf numFmtId="165" fontId="8" fillId="0" borderId="36" xfId="0" applyNumberFormat="1" applyFont="1" applyBorder="1"/>
    <xf numFmtId="0" fontId="8" fillId="0" borderId="36" xfId="0" applyFont="1" applyBorder="1"/>
    <xf numFmtId="165" fontId="8" fillId="0" borderId="36" xfId="0" applyNumberFormat="1" applyFont="1" applyBorder="1" applyProtection="1">
      <protection locked="0"/>
    </xf>
    <xf numFmtId="0" fontId="2" fillId="15" borderId="46" xfId="0" applyFont="1" applyFill="1" applyBorder="1" applyAlignment="1">
      <alignment horizontal="left"/>
    </xf>
    <xf numFmtId="0" fontId="2" fillId="15" borderId="44" xfId="0" applyFont="1" applyFill="1" applyBorder="1" applyAlignment="1">
      <alignment horizontal="left"/>
    </xf>
    <xf numFmtId="165" fontId="2" fillId="0" borderId="44" xfId="0" applyNumberFormat="1" applyFont="1" applyBorder="1" applyAlignment="1" applyProtection="1">
      <alignment horizontal="left"/>
      <protection locked="0"/>
    </xf>
    <xf numFmtId="0" fontId="0" fillId="0" borderId="44" xfId="0" applyBorder="1"/>
    <xf numFmtId="0" fontId="0" fillId="0" borderId="57" xfId="0" applyBorder="1"/>
    <xf numFmtId="0" fontId="0" fillId="0" borderId="14" xfId="0" applyBorder="1"/>
    <xf numFmtId="0" fontId="0" fillId="0" borderId="62" xfId="0" applyBorder="1"/>
    <xf numFmtId="0" fontId="0" fillId="0" borderId="14" xfId="0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14" xfId="1" applyFont="1" applyBorder="1"/>
    <xf numFmtId="0" fontId="17" fillId="0" borderId="0" xfId="1" applyFont="1"/>
    <xf numFmtId="0" fontId="17" fillId="0" borderId="0" xfId="0" applyFont="1"/>
    <xf numFmtId="0" fontId="17" fillId="0" borderId="30" xfId="1" applyFont="1" applyBorder="1"/>
    <xf numFmtId="0" fontId="17" fillId="0" borderId="31" xfId="0" applyFont="1" applyBorder="1"/>
    <xf numFmtId="0" fontId="17" fillId="0" borderId="31" xfId="1" applyFont="1" applyBorder="1"/>
    <xf numFmtId="0" fontId="2" fillId="0" borderId="31" xfId="0" applyFont="1" applyBorder="1" applyAlignment="1" applyProtection="1">
      <alignment horizontal="left"/>
      <protection locked="0"/>
    </xf>
    <xf numFmtId="0" fontId="0" fillId="0" borderId="31" xfId="0" applyBorder="1"/>
    <xf numFmtId="0" fontId="0" fillId="0" borderId="63" xfId="0" applyBorder="1"/>
    <xf numFmtId="0" fontId="17" fillId="2" borderId="0" xfId="1" applyFont="1" applyFill="1"/>
    <xf numFmtId="0" fontId="17" fillId="2" borderId="0" xfId="0" applyFont="1" applyFill="1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/>
    </xf>
    <xf numFmtId="14" fontId="2" fillId="8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8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8" borderId="0" xfId="0" applyFont="1" applyFill="1" applyAlignment="1">
      <alignment horizontal="left"/>
    </xf>
    <xf numFmtId="10" fontId="0" fillId="0" borderId="0" xfId="0" applyNumberForma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rgb="FFFF0000"/>
    <pageSetUpPr fitToPage="1"/>
  </sheetPr>
  <dimension ref="A1:AF129"/>
  <sheetViews>
    <sheetView showGridLines="0" tabSelected="1" zoomScale="56" zoomScaleNormal="56" zoomScaleSheetLayoutView="76" workbookViewId="0">
      <selection activeCell="B2" sqref="B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.42578125" customWidth="1"/>
    <col min="9" max="9" width="1.28515625" customWidth="1"/>
    <col min="10" max="10" width="14.140625" customWidth="1"/>
    <col min="11" max="11" width="11.28515625" customWidth="1"/>
    <col min="12" max="12" width="16.140625" customWidth="1"/>
    <col min="13" max="13" width="17.85546875" customWidth="1"/>
    <col min="14" max="14" width="13.7109375" customWidth="1"/>
    <col min="15" max="15" width="23.42578125" style="240" customWidth="1"/>
    <col min="16" max="16" width="13.28515625" customWidth="1"/>
    <col min="17" max="17" width="11.28515625" customWidth="1"/>
    <col min="18" max="20" width="16.42578125" customWidth="1"/>
    <col min="21" max="21" width="21.140625" customWidth="1"/>
    <col min="22" max="22" width="12.42578125" customWidth="1"/>
    <col min="23" max="23" width="10.7109375" customWidth="1"/>
    <col min="24" max="24" width="16.140625" bestFit="1" customWidth="1"/>
    <col min="25" max="25" width="14.140625" bestFit="1" customWidth="1"/>
    <col min="26" max="26" width="13.140625" bestFit="1" customWidth="1"/>
    <col min="27" max="27" width="21.85546875" customWidth="1"/>
    <col min="28" max="28" width="12.5703125" customWidth="1"/>
    <col min="29" max="29" width="10.7109375" bestFit="1" customWidth="1"/>
    <col min="30" max="30" width="17.7109375" customWidth="1"/>
    <col min="31" max="31" width="5.85546875" customWidth="1"/>
    <col min="32" max="32" width="0" hidden="1" customWidth="1"/>
    <col min="33" max="16384" width="9.140625" hidden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21" x14ac:dyDescent="0.3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2" ht="21" x14ac:dyDescent="0.35">
      <c r="A4" s="1"/>
      <c r="B4" s="1" t="s">
        <v>1</v>
      </c>
      <c r="C4" s="1"/>
      <c r="D4" s="4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  <c r="AA4" s="1"/>
      <c r="AB4" s="1"/>
      <c r="AC4" s="1"/>
      <c r="AD4" s="1"/>
      <c r="AE4" s="1"/>
    </row>
    <row r="5" spans="1:32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2" x14ac:dyDescent="0.25">
      <c r="A6" s="1"/>
      <c r="B6" s="1" t="s">
        <v>3</v>
      </c>
      <c r="C6" s="1"/>
      <c r="D6" s="5">
        <v>46789766</v>
      </c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2" ht="3.75" customHeight="1" x14ac:dyDescent="0.25">
      <c r="A7" s="1"/>
      <c r="B7" s="1"/>
      <c r="C7" s="1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2" x14ac:dyDescent="0.25">
      <c r="A8" s="1"/>
      <c r="B8" s="1" t="s">
        <v>4</v>
      </c>
      <c r="C8" s="1"/>
      <c r="D8" s="7" t="s">
        <v>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1"/>
      <c r="Y8" s="1"/>
      <c r="Z8" s="1"/>
      <c r="AA8" s="1"/>
      <c r="AB8" s="1"/>
      <c r="AC8" s="1"/>
      <c r="AD8" s="1"/>
      <c r="AE8" s="1"/>
    </row>
    <row r="9" spans="1:32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2" ht="29.25" customHeight="1" thickBot="1" x14ac:dyDescent="0.3">
      <c r="A10" s="1"/>
      <c r="B10" s="8" t="s">
        <v>6</v>
      </c>
      <c r="C10" s="9" t="s">
        <v>7</v>
      </c>
      <c r="D10" s="10" t="s">
        <v>8</v>
      </c>
      <c r="E10" s="11"/>
      <c r="F10" s="11"/>
      <c r="G10" s="11"/>
      <c r="H10" s="11"/>
      <c r="I10" s="11"/>
      <c r="J10" s="11"/>
      <c r="K10" s="12"/>
      <c r="L10" s="10" t="s">
        <v>9</v>
      </c>
      <c r="M10" s="11"/>
      <c r="N10" s="11"/>
      <c r="O10" s="11"/>
      <c r="P10" s="11"/>
      <c r="Q10" s="12"/>
      <c r="R10" s="10" t="s">
        <v>10</v>
      </c>
      <c r="S10" s="11"/>
      <c r="T10" s="11"/>
      <c r="U10" s="11"/>
      <c r="V10" s="11"/>
      <c r="W10" s="12"/>
      <c r="X10" s="13" t="s">
        <v>11</v>
      </c>
      <c r="Y10" s="14"/>
      <c r="Z10" s="14"/>
      <c r="AA10" s="14"/>
      <c r="AB10" s="14"/>
      <c r="AC10" s="15"/>
      <c r="AD10" s="16" t="s">
        <v>12</v>
      </c>
      <c r="AE10" s="1"/>
      <c r="AF10" s="1"/>
    </row>
    <row r="11" spans="1:32" ht="30.75" customHeight="1" thickBot="1" x14ac:dyDescent="0.3">
      <c r="A11" s="1"/>
      <c r="B11" s="17"/>
      <c r="C11" s="18"/>
      <c r="D11" s="19" t="s">
        <v>13</v>
      </c>
      <c r="E11" s="20"/>
      <c r="F11" s="20"/>
      <c r="G11" s="21"/>
      <c r="H11" s="22"/>
      <c r="I11" s="22"/>
      <c r="J11" s="23" t="s">
        <v>14</v>
      </c>
      <c r="K11" s="23" t="s">
        <v>15</v>
      </c>
      <c r="L11" s="19" t="s">
        <v>13</v>
      </c>
      <c r="M11" s="20"/>
      <c r="N11" s="20"/>
      <c r="O11" s="21"/>
      <c r="P11" s="23" t="s">
        <v>14</v>
      </c>
      <c r="Q11" s="23" t="s">
        <v>15</v>
      </c>
      <c r="R11" s="19" t="s">
        <v>13</v>
      </c>
      <c r="S11" s="20"/>
      <c r="T11" s="20"/>
      <c r="U11" s="21"/>
      <c r="V11" s="23" t="s">
        <v>14</v>
      </c>
      <c r="W11" s="23" t="s">
        <v>15</v>
      </c>
      <c r="X11" s="19" t="s">
        <v>13</v>
      </c>
      <c r="Y11" s="20"/>
      <c r="Z11" s="20"/>
      <c r="AA11" s="21"/>
      <c r="AB11" s="23" t="s">
        <v>14</v>
      </c>
      <c r="AC11" s="23" t="s">
        <v>15</v>
      </c>
      <c r="AD11" s="24"/>
      <c r="AE11" s="1"/>
      <c r="AF11" s="1"/>
    </row>
    <row r="12" spans="1:32" ht="15.75" customHeight="1" thickBot="1" x14ac:dyDescent="0.3">
      <c r="A12" s="1"/>
      <c r="B12" s="17"/>
      <c r="C12" s="25"/>
      <c r="D12" s="26" t="s">
        <v>16</v>
      </c>
      <c r="E12" s="27"/>
      <c r="F12" s="27"/>
      <c r="G12" s="27"/>
      <c r="H12" s="27"/>
      <c r="I12" s="27"/>
      <c r="J12" s="27"/>
      <c r="K12" s="28"/>
      <c r="L12" s="26" t="s">
        <v>16</v>
      </c>
      <c r="M12" s="27"/>
      <c r="N12" s="27"/>
      <c r="O12" s="27"/>
      <c r="P12" s="27"/>
      <c r="Q12" s="28"/>
      <c r="R12" s="26" t="s">
        <v>16</v>
      </c>
      <c r="S12" s="27"/>
      <c r="T12" s="27"/>
      <c r="U12" s="27"/>
      <c r="V12" s="27"/>
      <c r="W12" s="28"/>
      <c r="X12" s="26" t="s">
        <v>16</v>
      </c>
      <c r="Y12" s="27"/>
      <c r="Z12" s="27"/>
      <c r="AA12" s="27"/>
      <c r="AB12" s="27"/>
      <c r="AC12" s="28"/>
      <c r="AD12" s="24"/>
      <c r="AE12" s="1"/>
      <c r="AF12" s="1"/>
    </row>
    <row r="13" spans="1:32" ht="15.75" customHeight="1" thickBot="1" x14ac:dyDescent="0.3">
      <c r="A13" s="1"/>
      <c r="B13" s="29"/>
      <c r="C13" s="30"/>
      <c r="D13" s="31" t="s">
        <v>17</v>
      </c>
      <c r="E13" s="32"/>
      <c r="F13" s="32"/>
      <c r="G13" s="33" t="s">
        <v>18</v>
      </c>
      <c r="H13" s="34"/>
      <c r="I13" s="35"/>
      <c r="J13" s="36" t="s">
        <v>19</v>
      </c>
      <c r="K13" s="37" t="s">
        <v>16</v>
      </c>
      <c r="L13" s="31" t="s">
        <v>17</v>
      </c>
      <c r="M13" s="32"/>
      <c r="N13" s="32"/>
      <c r="O13" s="38" t="s">
        <v>18</v>
      </c>
      <c r="P13" s="36" t="s">
        <v>19</v>
      </c>
      <c r="Q13" s="37" t="s">
        <v>16</v>
      </c>
      <c r="R13" s="31" t="s">
        <v>17</v>
      </c>
      <c r="S13" s="32"/>
      <c r="T13" s="32"/>
      <c r="U13" s="38" t="s">
        <v>18</v>
      </c>
      <c r="V13" s="36" t="s">
        <v>19</v>
      </c>
      <c r="W13" s="37" t="s">
        <v>16</v>
      </c>
      <c r="X13" s="31" t="s">
        <v>17</v>
      </c>
      <c r="Y13" s="32"/>
      <c r="Z13" s="32"/>
      <c r="AA13" s="38" t="s">
        <v>18</v>
      </c>
      <c r="AB13" s="36" t="s">
        <v>19</v>
      </c>
      <c r="AC13" s="37" t="s">
        <v>16</v>
      </c>
      <c r="AD13" s="24"/>
      <c r="AE13" s="1"/>
      <c r="AF13" s="1"/>
    </row>
    <row r="14" spans="1:32" ht="15.75" thickBot="1" x14ac:dyDescent="0.3">
      <c r="A14" s="1"/>
      <c r="B14" s="39"/>
      <c r="C14" s="40"/>
      <c r="D14" s="41" t="s">
        <v>20</v>
      </c>
      <c r="E14" s="42" t="s">
        <v>21</v>
      </c>
      <c r="F14" s="42" t="s">
        <v>22</v>
      </c>
      <c r="G14" s="43"/>
      <c r="H14" s="44"/>
      <c r="I14" s="45"/>
      <c r="J14" s="46"/>
      <c r="K14" s="47"/>
      <c r="L14" s="41" t="s">
        <v>20</v>
      </c>
      <c r="M14" s="42" t="s">
        <v>21</v>
      </c>
      <c r="N14" s="42" t="s">
        <v>22</v>
      </c>
      <c r="O14" s="48"/>
      <c r="P14" s="46"/>
      <c r="Q14" s="47"/>
      <c r="R14" s="41" t="s">
        <v>20</v>
      </c>
      <c r="S14" s="42" t="s">
        <v>21</v>
      </c>
      <c r="T14" s="42" t="s">
        <v>22</v>
      </c>
      <c r="U14" s="48"/>
      <c r="V14" s="46"/>
      <c r="W14" s="47"/>
      <c r="X14" s="41" t="s">
        <v>20</v>
      </c>
      <c r="Y14" s="42" t="s">
        <v>21</v>
      </c>
      <c r="Z14" s="42" t="s">
        <v>22</v>
      </c>
      <c r="AA14" s="48"/>
      <c r="AB14" s="46"/>
      <c r="AC14" s="47"/>
      <c r="AD14" s="49"/>
      <c r="AE14" s="1"/>
      <c r="AF14" s="1"/>
    </row>
    <row r="15" spans="1:32" x14ac:dyDescent="0.25">
      <c r="A15" s="1"/>
      <c r="B15" s="50" t="s">
        <v>23</v>
      </c>
      <c r="C15" s="51" t="s">
        <v>24</v>
      </c>
      <c r="D15" s="52"/>
      <c r="E15" s="53"/>
      <c r="F15" s="54">
        <f>1201+1.2+71.9+0.5+5.4</f>
        <v>1280.0000000000002</v>
      </c>
      <c r="G15" s="55">
        <f>SUM(D15:F15)</f>
        <v>1280.0000000000002</v>
      </c>
      <c r="H15" s="56"/>
      <c r="I15" s="57"/>
      <c r="J15" s="58">
        <v>98</v>
      </c>
      <c r="K15" s="59">
        <f>G15+J15</f>
        <v>1378.0000000000002</v>
      </c>
      <c r="L15" s="52"/>
      <c r="M15" s="53"/>
      <c r="N15" s="54">
        <v>1800</v>
      </c>
      <c r="O15" s="55">
        <f t="shared" ref="O15:O23" si="0">SUM(L15:N15)</f>
        <v>1800</v>
      </c>
      <c r="P15" s="58">
        <v>260</v>
      </c>
      <c r="Q15" s="59">
        <f>O15+P15</f>
        <v>2060</v>
      </c>
      <c r="R15" s="52"/>
      <c r="S15" s="53"/>
      <c r="T15" s="54">
        <v>1184.8</v>
      </c>
      <c r="U15" s="55">
        <f>SUM(R15:T15)</f>
        <v>1184.8</v>
      </c>
      <c r="V15" s="58">
        <v>156.4</v>
      </c>
      <c r="W15" s="59">
        <f>U15+V15</f>
        <v>1341.2</v>
      </c>
      <c r="X15" s="52"/>
      <c r="Y15" s="53"/>
      <c r="Z15" s="54">
        <v>2000</v>
      </c>
      <c r="AA15" s="55">
        <f>SUM(X15:Z15)</f>
        <v>2000</v>
      </c>
      <c r="AB15" s="58">
        <f>P15*1.1</f>
        <v>286</v>
      </c>
      <c r="AC15" s="59">
        <f>AA15+AB15</f>
        <v>2286</v>
      </c>
      <c r="AD15" s="60">
        <f>(AC15/Q15)</f>
        <v>1.1097087378640778</v>
      </c>
      <c r="AE15" s="1"/>
      <c r="AF15" s="1"/>
    </row>
    <row r="16" spans="1:32" x14ac:dyDescent="0.25">
      <c r="A16" s="1"/>
      <c r="B16" s="61" t="s">
        <v>25</v>
      </c>
      <c r="C16" s="62" t="s">
        <v>26</v>
      </c>
      <c r="D16" s="63">
        <v>4357.3999999999996</v>
      </c>
      <c r="E16" s="64"/>
      <c r="F16" s="64"/>
      <c r="G16" s="55">
        <f t="shared" ref="G16:G17" si="1">SUM(D16:F16)</f>
        <v>4357.3999999999996</v>
      </c>
      <c r="H16" s="56"/>
      <c r="I16" s="57"/>
      <c r="J16" s="65">
        <v>0</v>
      </c>
      <c r="K16" s="59">
        <f t="shared" ref="K16:K23" si="2">G16+J16</f>
        <v>4357.3999999999996</v>
      </c>
      <c r="L16" s="63">
        <v>5060</v>
      </c>
      <c r="M16" s="64"/>
      <c r="N16" s="64"/>
      <c r="O16" s="66">
        <f t="shared" si="0"/>
        <v>5060</v>
      </c>
      <c r="P16" s="65"/>
      <c r="Q16" s="59">
        <f t="shared" ref="Q16:Q20" si="3">O16+P16</f>
        <v>5060</v>
      </c>
      <c r="R16" s="63">
        <v>2585</v>
      </c>
      <c r="S16" s="64"/>
      <c r="T16" s="64"/>
      <c r="U16" s="66">
        <f t="shared" ref="U16:U23" si="4">SUM(R16:T16)</f>
        <v>2585</v>
      </c>
      <c r="V16" s="65"/>
      <c r="W16" s="59">
        <f t="shared" ref="W16:W20" si="5">U16+V16</f>
        <v>2585</v>
      </c>
      <c r="X16" s="67">
        <f>5060+130+3+10+344.7+200</f>
        <v>5747.7</v>
      </c>
      <c r="Y16" s="64"/>
      <c r="Z16" s="64"/>
      <c r="AA16" s="66">
        <f t="shared" ref="AA16:AA23" si="6">SUM(X16:Z16)</f>
        <v>5747.7</v>
      </c>
      <c r="AB16" s="65"/>
      <c r="AC16" s="59">
        <f t="shared" ref="AC16:AC20" si="7">AA16+AB16</f>
        <v>5747.7</v>
      </c>
      <c r="AD16" s="60">
        <f t="shared" ref="AD16:AD24" si="8">(AC16/Q16)</f>
        <v>1.135909090909091</v>
      </c>
      <c r="AE16" s="1"/>
      <c r="AF16" s="1"/>
    </row>
    <row r="17" spans="1:32" x14ac:dyDescent="0.25">
      <c r="A17" s="1"/>
      <c r="B17" s="61" t="s">
        <v>27</v>
      </c>
      <c r="C17" s="68" t="s">
        <v>28</v>
      </c>
      <c r="D17" s="69">
        <f>736.2-64-24.5</f>
        <v>647.70000000000005</v>
      </c>
      <c r="E17" s="64"/>
      <c r="F17" s="64"/>
      <c r="G17" s="55">
        <f t="shared" si="1"/>
        <v>647.70000000000005</v>
      </c>
      <c r="H17" s="56"/>
      <c r="I17" s="57"/>
      <c r="J17" s="70">
        <v>0</v>
      </c>
      <c r="K17" s="59">
        <f>G17+J17</f>
        <v>647.70000000000005</v>
      </c>
      <c r="L17" s="69">
        <v>1860.7</v>
      </c>
      <c r="M17" s="64"/>
      <c r="N17" s="64"/>
      <c r="O17" s="66">
        <f t="shared" si="0"/>
        <v>1860.7</v>
      </c>
      <c r="P17" s="70"/>
      <c r="Q17" s="59">
        <f t="shared" si="3"/>
        <v>1860.7</v>
      </c>
      <c r="R17" s="69">
        <v>501.6</v>
      </c>
      <c r="S17" s="64"/>
      <c r="T17" s="64"/>
      <c r="U17" s="66">
        <f t="shared" si="4"/>
        <v>501.6</v>
      </c>
      <c r="V17" s="70"/>
      <c r="W17" s="59">
        <f t="shared" si="5"/>
        <v>501.6</v>
      </c>
      <c r="X17" s="69">
        <f>181+216.4+41.9+44</f>
        <v>483.29999999999995</v>
      </c>
      <c r="Y17" s="64"/>
      <c r="Z17" s="64"/>
      <c r="AA17" s="66">
        <f t="shared" si="6"/>
        <v>483.29999999999995</v>
      </c>
      <c r="AB17" s="70"/>
      <c r="AC17" s="59">
        <f t="shared" si="7"/>
        <v>483.29999999999995</v>
      </c>
      <c r="AD17" s="60">
        <f t="shared" si="8"/>
        <v>0.25974095770408984</v>
      </c>
      <c r="AE17" s="1"/>
      <c r="AF17" s="1"/>
    </row>
    <row r="18" spans="1:32" x14ac:dyDescent="0.25">
      <c r="A18" s="1"/>
      <c r="B18" s="61" t="s">
        <v>29</v>
      </c>
      <c r="C18" s="71" t="s">
        <v>30</v>
      </c>
      <c r="D18" s="72"/>
      <c r="E18" s="73">
        <f>43362+410</f>
        <v>43772</v>
      </c>
      <c r="F18" s="64"/>
      <c r="G18" s="66">
        <f t="shared" ref="G18:G23" si="9">SUM(D18:F18)</f>
        <v>43772</v>
      </c>
      <c r="H18" s="56"/>
      <c r="I18" s="57"/>
      <c r="J18" s="58">
        <v>0</v>
      </c>
      <c r="K18" s="59">
        <f t="shared" si="2"/>
        <v>43772</v>
      </c>
      <c r="L18" s="72"/>
      <c r="M18" s="73">
        <v>44412.1</v>
      </c>
      <c r="N18" s="64"/>
      <c r="O18" s="66">
        <f t="shared" si="0"/>
        <v>44412.1</v>
      </c>
      <c r="P18" s="58">
        <v>0</v>
      </c>
      <c r="Q18" s="59">
        <f t="shared" si="3"/>
        <v>44412.1</v>
      </c>
      <c r="R18" s="72"/>
      <c r="S18" s="73">
        <v>22257.1</v>
      </c>
      <c r="T18" s="64"/>
      <c r="U18" s="66">
        <f t="shared" si="4"/>
        <v>22257.1</v>
      </c>
      <c r="V18" s="58">
        <v>0</v>
      </c>
      <c r="W18" s="59">
        <f t="shared" si="5"/>
        <v>22257.1</v>
      </c>
      <c r="X18" s="72"/>
      <c r="Y18" s="73">
        <f>31323.6+10618.7+626.5+120+950+4766.7</f>
        <v>48405.5</v>
      </c>
      <c r="Z18" s="64"/>
      <c r="AA18" s="66">
        <f t="shared" si="6"/>
        <v>48405.5</v>
      </c>
      <c r="AB18" s="58">
        <v>0</v>
      </c>
      <c r="AC18" s="59">
        <f t="shared" si="7"/>
        <v>48405.5</v>
      </c>
      <c r="AD18" s="60">
        <f t="shared" si="8"/>
        <v>1.0899169370509389</v>
      </c>
      <c r="AE18" s="1"/>
      <c r="AF18" s="1"/>
    </row>
    <row r="19" spans="1:32" x14ac:dyDescent="0.25">
      <c r="A19" s="1"/>
      <c r="B19" s="61" t="s">
        <v>31</v>
      </c>
      <c r="C19" s="74" t="s">
        <v>32</v>
      </c>
      <c r="D19" s="72"/>
      <c r="E19" s="64"/>
      <c r="F19" s="73">
        <v>893</v>
      </c>
      <c r="G19" s="66">
        <f t="shared" si="9"/>
        <v>893</v>
      </c>
      <c r="H19" s="56"/>
      <c r="I19" s="57"/>
      <c r="J19" s="58">
        <v>0</v>
      </c>
      <c r="K19" s="59">
        <f>G19+J19</f>
        <v>893</v>
      </c>
      <c r="L19" s="72"/>
      <c r="M19" s="64"/>
      <c r="N19" s="73">
        <v>892</v>
      </c>
      <c r="O19" s="66">
        <f t="shared" si="0"/>
        <v>892</v>
      </c>
      <c r="P19" s="58">
        <v>0</v>
      </c>
      <c r="Q19" s="59">
        <f t="shared" si="3"/>
        <v>892</v>
      </c>
      <c r="R19" s="72"/>
      <c r="S19" s="64"/>
      <c r="T19" s="73">
        <v>448.7</v>
      </c>
      <c r="U19" s="66">
        <f t="shared" si="4"/>
        <v>448.7</v>
      </c>
      <c r="V19" s="58">
        <v>0</v>
      </c>
      <c r="W19" s="59">
        <f t="shared" si="5"/>
        <v>448.7</v>
      </c>
      <c r="X19" s="72"/>
      <c r="Y19" s="64"/>
      <c r="Z19" s="73">
        <v>897.3</v>
      </c>
      <c r="AA19" s="66">
        <f t="shared" si="6"/>
        <v>897.3</v>
      </c>
      <c r="AB19" s="58">
        <v>0</v>
      </c>
      <c r="AC19" s="59">
        <f t="shared" si="7"/>
        <v>897.3</v>
      </c>
      <c r="AD19" s="60">
        <f t="shared" si="8"/>
        <v>1.0059417040358745</v>
      </c>
      <c r="AE19" s="1"/>
      <c r="AF19" s="1"/>
    </row>
    <row r="20" spans="1:32" x14ac:dyDescent="0.25">
      <c r="A20" s="1"/>
      <c r="B20" s="61" t="s">
        <v>33</v>
      </c>
      <c r="C20" s="75" t="s">
        <v>34</v>
      </c>
      <c r="D20" s="72"/>
      <c r="E20" s="64">
        <v>503.8</v>
      </c>
      <c r="F20" s="73">
        <v>4.0999999999999996</v>
      </c>
      <c r="G20" s="66">
        <f t="shared" si="9"/>
        <v>507.90000000000003</v>
      </c>
      <c r="H20" s="56"/>
      <c r="I20" s="57"/>
      <c r="J20" s="58">
        <v>0</v>
      </c>
      <c r="K20" s="59">
        <f t="shared" si="2"/>
        <v>507.90000000000003</v>
      </c>
      <c r="L20" s="72"/>
      <c r="M20" s="64"/>
      <c r="N20" s="73">
        <v>120</v>
      </c>
      <c r="O20" s="66">
        <f t="shared" si="0"/>
        <v>120</v>
      </c>
      <c r="P20" s="58">
        <v>0</v>
      </c>
      <c r="Q20" s="59">
        <f t="shared" si="3"/>
        <v>120</v>
      </c>
      <c r="R20" s="72"/>
      <c r="S20" s="64"/>
      <c r="T20" s="73">
        <v>331</v>
      </c>
      <c r="U20" s="66">
        <f t="shared" si="4"/>
        <v>331</v>
      </c>
      <c r="V20" s="58">
        <v>0</v>
      </c>
      <c r="W20" s="59">
        <f t="shared" si="5"/>
        <v>331</v>
      </c>
      <c r="X20" s="72"/>
      <c r="Y20" s="64"/>
      <c r="Z20" s="73">
        <v>100</v>
      </c>
      <c r="AA20" s="66">
        <f t="shared" si="6"/>
        <v>100</v>
      </c>
      <c r="AB20" s="58">
        <v>0</v>
      </c>
      <c r="AC20" s="59">
        <f t="shared" si="7"/>
        <v>100</v>
      </c>
      <c r="AD20" s="60">
        <f t="shared" si="8"/>
        <v>0.83333333333333337</v>
      </c>
      <c r="AE20" s="1"/>
      <c r="AF20" s="1"/>
    </row>
    <row r="21" spans="1:32" x14ac:dyDescent="0.25">
      <c r="A21" s="1"/>
      <c r="B21" s="61" t="s">
        <v>35</v>
      </c>
      <c r="C21" s="76" t="s">
        <v>36</v>
      </c>
      <c r="D21" s="72"/>
      <c r="E21" s="64"/>
      <c r="F21" s="73">
        <v>22.3</v>
      </c>
      <c r="G21" s="66">
        <f t="shared" si="9"/>
        <v>22.3</v>
      </c>
      <c r="H21" s="77"/>
      <c r="I21" s="57"/>
      <c r="J21" s="78">
        <v>224.1</v>
      </c>
      <c r="K21" s="59">
        <f>G21+J21</f>
        <v>246.4</v>
      </c>
      <c r="L21" s="72"/>
      <c r="M21" s="64"/>
      <c r="N21" s="73">
        <v>200</v>
      </c>
      <c r="O21" s="66">
        <f t="shared" si="0"/>
        <v>200</v>
      </c>
      <c r="P21" s="78">
        <v>187</v>
      </c>
      <c r="Q21" s="59">
        <f>O21+P21</f>
        <v>387</v>
      </c>
      <c r="R21" s="72"/>
      <c r="S21" s="64"/>
      <c r="T21" s="73">
        <v>56</v>
      </c>
      <c r="U21" s="66">
        <f t="shared" si="4"/>
        <v>56</v>
      </c>
      <c r="V21" s="78">
        <v>101.6</v>
      </c>
      <c r="W21" s="59">
        <f>U21+V21</f>
        <v>157.6</v>
      </c>
      <c r="X21" s="72"/>
      <c r="Y21" s="64"/>
      <c r="Z21" s="73">
        <v>190</v>
      </c>
      <c r="AA21" s="66">
        <f t="shared" si="6"/>
        <v>190</v>
      </c>
      <c r="AB21" s="78">
        <v>196</v>
      </c>
      <c r="AC21" s="59">
        <f>AA21+AB21</f>
        <v>386</v>
      </c>
      <c r="AD21" s="60">
        <f t="shared" si="8"/>
        <v>0.99741602067183466</v>
      </c>
      <c r="AE21" s="1"/>
      <c r="AF21" s="1"/>
    </row>
    <row r="22" spans="1:32" x14ac:dyDescent="0.25">
      <c r="A22" s="1"/>
      <c r="B22" s="61" t="s">
        <v>37</v>
      </c>
      <c r="C22" s="76" t="s">
        <v>38</v>
      </c>
      <c r="D22" s="72"/>
      <c r="E22" s="64"/>
      <c r="F22" s="73">
        <v>0</v>
      </c>
      <c r="G22" s="66">
        <f t="shared" si="9"/>
        <v>0</v>
      </c>
      <c r="H22" s="77"/>
      <c r="I22" s="57"/>
      <c r="J22" s="78">
        <v>224.1</v>
      </c>
      <c r="K22" s="59">
        <f t="shared" si="2"/>
        <v>224.1</v>
      </c>
      <c r="L22" s="72"/>
      <c r="M22" s="64"/>
      <c r="N22" s="73">
        <v>0</v>
      </c>
      <c r="O22" s="66">
        <f t="shared" si="0"/>
        <v>0</v>
      </c>
      <c r="P22" s="78">
        <v>187</v>
      </c>
      <c r="Q22" s="59">
        <f t="shared" ref="Q22:Q23" si="10">O22+P22</f>
        <v>187</v>
      </c>
      <c r="R22" s="72"/>
      <c r="S22" s="64"/>
      <c r="T22" s="73"/>
      <c r="U22" s="66">
        <f t="shared" si="4"/>
        <v>0</v>
      </c>
      <c r="V22" s="78">
        <v>101.6</v>
      </c>
      <c r="W22" s="59">
        <f t="shared" ref="W22:W23" si="11">U22+V22</f>
        <v>101.6</v>
      </c>
      <c r="X22" s="72"/>
      <c r="Y22" s="64"/>
      <c r="Z22" s="73">
        <v>0</v>
      </c>
      <c r="AA22" s="66">
        <f t="shared" si="6"/>
        <v>0</v>
      </c>
      <c r="AB22" s="78">
        <v>196</v>
      </c>
      <c r="AC22" s="59">
        <f t="shared" ref="AC22:AC23" si="12">AA22+AB22</f>
        <v>196</v>
      </c>
      <c r="AD22" s="60">
        <f t="shared" si="8"/>
        <v>1.0481283422459893</v>
      </c>
      <c r="AE22" s="1"/>
      <c r="AF22" s="1"/>
    </row>
    <row r="23" spans="1:32" ht="15.75" thickBot="1" x14ac:dyDescent="0.3">
      <c r="A23" s="1"/>
      <c r="B23" s="79" t="s">
        <v>39</v>
      </c>
      <c r="C23" s="80" t="s">
        <v>40</v>
      </c>
      <c r="D23" s="81"/>
      <c r="E23" s="82"/>
      <c r="F23" s="83">
        <v>0</v>
      </c>
      <c r="G23" s="66">
        <f t="shared" si="9"/>
        <v>0</v>
      </c>
      <c r="H23" s="84"/>
      <c r="I23" s="57"/>
      <c r="J23" s="85"/>
      <c r="K23" s="86">
        <f t="shared" si="2"/>
        <v>0</v>
      </c>
      <c r="L23" s="81"/>
      <c r="M23" s="82"/>
      <c r="N23" s="83">
        <v>0</v>
      </c>
      <c r="O23" s="87">
        <f t="shared" si="0"/>
        <v>0</v>
      </c>
      <c r="P23" s="85">
        <v>0</v>
      </c>
      <c r="Q23" s="86">
        <f t="shared" si="10"/>
        <v>0</v>
      </c>
      <c r="R23" s="81"/>
      <c r="S23" s="82"/>
      <c r="T23" s="83"/>
      <c r="U23" s="87">
        <f t="shared" si="4"/>
        <v>0</v>
      </c>
      <c r="V23" s="85">
        <v>0</v>
      </c>
      <c r="W23" s="86">
        <f t="shared" si="11"/>
        <v>0</v>
      </c>
      <c r="X23" s="81"/>
      <c r="Y23" s="82"/>
      <c r="Z23" s="83">
        <v>0</v>
      </c>
      <c r="AA23" s="87">
        <f t="shared" si="6"/>
        <v>0</v>
      </c>
      <c r="AB23" s="85">
        <v>0</v>
      </c>
      <c r="AC23" s="86">
        <f t="shared" si="12"/>
        <v>0</v>
      </c>
      <c r="AD23" s="88" t="e">
        <f t="shared" si="8"/>
        <v>#DIV/0!</v>
      </c>
      <c r="AE23" s="1"/>
      <c r="AF23" s="1"/>
    </row>
    <row r="24" spans="1:32" ht="15.75" thickBot="1" x14ac:dyDescent="0.3">
      <c r="A24" s="1"/>
      <c r="B24" s="89" t="s">
        <v>41</v>
      </c>
      <c r="C24" s="90" t="s">
        <v>42</v>
      </c>
      <c r="D24" s="91">
        <f>SUM(D15:D21)</f>
        <v>5005.0999999999995</v>
      </c>
      <c r="E24" s="92">
        <f>SUM(E15:E21)</f>
        <v>44275.8</v>
      </c>
      <c r="F24" s="92">
        <f>SUM(F15:F21)</f>
        <v>2199.4</v>
      </c>
      <c r="G24" s="93">
        <f>SUM(D24:F24)</f>
        <v>51480.3</v>
      </c>
      <c r="H24" s="94"/>
      <c r="I24" s="95"/>
      <c r="J24" s="96">
        <f>SUM(J15:J21)</f>
        <v>322.10000000000002</v>
      </c>
      <c r="K24" s="96">
        <f>SUM(K15:K21)</f>
        <v>51802.400000000001</v>
      </c>
      <c r="L24" s="91">
        <f>SUM(L15:L21)</f>
        <v>6920.7</v>
      </c>
      <c r="M24" s="92">
        <f>SUM(M15:M21)</f>
        <v>44412.1</v>
      </c>
      <c r="N24" s="92">
        <f>SUM(N15:N21)</f>
        <v>3012</v>
      </c>
      <c r="O24" s="93">
        <f>SUM(L24:N24)</f>
        <v>54344.799999999996</v>
      </c>
      <c r="P24" s="96">
        <f>SUM(P15:P21)</f>
        <v>447</v>
      </c>
      <c r="Q24" s="96">
        <f>SUM(Q15:Q21)</f>
        <v>54791.8</v>
      </c>
      <c r="R24" s="91">
        <f>SUM(R15:R21)</f>
        <v>3086.6</v>
      </c>
      <c r="S24" s="92">
        <f>SUM(S15:S21)</f>
        <v>22257.1</v>
      </c>
      <c r="T24" s="92">
        <f>SUM(T15:T21)</f>
        <v>2020.5</v>
      </c>
      <c r="U24" s="93">
        <f>SUM(R24:T24)</f>
        <v>27364.199999999997</v>
      </c>
      <c r="V24" s="96">
        <f>SUM(V15:V21)</f>
        <v>258</v>
      </c>
      <c r="W24" s="96">
        <f>SUM(W15:W21)</f>
        <v>27622.199999999997</v>
      </c>
      <c r="X24" s="91">
        <f>SUM(X15:X21)</f>
        <v>6231</v>
      </c>
      <c r="Y24" s="92">
        <f>SUM(Y15:Y21)</f>
        <v>48405.5</v>
      </c>
      <c r="Z24" s="92">
        <f>SUM(Z15:Z23)</f>
        <v>3187.3</v>
      </c>
      <c r="AA24" s="93">
        <f>SUM(X24:Z24)</f>
        <v>57823.8</v>
      </c>
      <c r="AB24" s="96">
        <f>SUM(AB15:AB21)</f>
        <v>482</v>
      </c>
      <c r="AC24" s="96">
        <f>SUM(AC15:AC21)</f>
        <v>58305.8</v>
      </c>
      <c r="AD24" s="97">
        <f t="shared" si="8"/>
        <v>1.0641336842374225</v>
      </c>
      <c r="AE24" s="1"/>
      <c r="AF24" s="1"/>
    </row>
    <row r="25" spans="1:32" ht="15.75" customHeight="1" thickBot="1" x14ac:dyDescent="0.3">
      <c r="A25" s="1"/>
      <c r="B25" s="98"/>
      <c r="C25" s="99"/>
      <c r="D25" s="100" t="s">
        <v>43</v>
      </c>
      <c r="E25" s="101"/>
      <c r="F25" s="101"/>
      <c r="G25" s="102"/>
      <c r="H25" s="102"/>
      <c r="I25" s="102"/>
      <c r="J25" s="102"/>
      <c r="K25" s="103"/>
      <c r="L25" s="100" t="s">
        <v>43</v>
      </c>
      <c r="M25" s="101"/>
      <c r="N25" s="101"/>
      <c r="O25" s="102"/>
      <c r="P25" s="102"/>
      <c r="Q25" s="103"/>
      <c r="R25" s="100" t="s">
        <v>43</v>
      </c>
      <c r="S25" s="101"/>
      <c r="T25" s="101"/>
      <c r="U25" s="102"/>
      <c r="V25" s="102"/>
      <c r="W25" s="103"/>
      <c r="X25" s="100" t="s">
        <v>43</v>
      </c>
      <c r="Y25" s="101"/>
      <c r="Z25" s="101"/>
      <c r="AA25" s="102"/>
      <c r="AB25" s="102"/>
      <c r="AC25" s="103"/>
      <c r="AD25" s="104" t="s">
        <v>12</v>
      </c>
      <c r="AE25" s="1"/>
      <c r="AF25" s="1"/>
    </row>
    <row r="26" spans="1:32" ht="15.75" thickBot="1" x14ac:dyDescent="0.3">
      <c r="A26" s="1"/>
      <c r="B26" s="105" t="s">
        <v>6</v>
      </c>
      <c r="C26" s="9" t="s">
        <v>7</v>
      </c>
      <c r="D26" s="106" t="s">
        <v>44</v>
      </c>
      <c r="E26" s="107"/>
      <c r="F26" s="107"/>
      <c r="G26" s="108" t="s">
        <v>45</v>
      </c>
      <c r="H26" s="109"/>
      <c r="I26" s="109"/>
      <c r="J26" s="110" t="s">
        <v>46</v>
      </c>
      <c r="K26" s="111" t="s">
        <v>43</v>
      </c>
      <c r="L26" s="106" t="s">
        <v>44</v>
      </c>
      <c r="M26" s="107"/>
      <c r="N26" s="107"/>
      <c r="O26" s="112" t="s">
        <v>45</v>
      </c>
      <c r="P26" s="110" t="s">
        <v>46</v>
      </c>
      <c r="Q26" s="111" t="s">
        <v>43</v>
      </c>
      <c r="R26" s="106" t="s">
        <v>44</v>
      </c>
      <c r="S26" s="107"/>
      <c r="T26" s="107"/>
      <c r="U26" s="112" t="s">
        <v>45</v>
      </c>
      <c r="V26" s="110" t="s">
        <v>46</v>
      </c>
      <c r="W26" s="111" t="s">
        <v>43</v>
      </c>
      <c r="X26" s="106" t="s">
        <v>44</v>
      </c>
      <c r="Y26" s="107"/>
      <c r="Z26" s="107"/>
      <c r="AA26" s="112" t="s">
        <v>45</v>
      </c>
      <c r="AB26" s="110" t="s">
        <v>46</v>
      </c>
      <c r="AC26" s="111" t="s">
        <v>43</v>
      </c>
      <c r="AD26" s="113"/>
      <c r="AE26" s="1"/>
      <c r="AF26" s="1"/>
    </row>
    <row r="27" spans="1:32" ht="15.75" thickBot="1" x14ac:dyDescent="0.3">
      <c r="A27" s="1"/>
      <c r="B27" s="114"/>
      <c r="C27" s="18"/>
      <c r="D27" s="115" t="s">
        <v>47</v>
      </c>
      <c r="E27" s="116" t="s">
        <v>48</v>
      </c>
      <c r="F27" s="117" t="s">
        <v>49</v>
      </c>
      <c r="G27" s="118"/>
      <c r="H27" s="119"/>
      <c r="I27" s="120"/>
      <c r="J27" s="121"/>
      <c r="K27" s="122"/>
      <c r="L27" s="115" t="s">
        <v>47</v>
      </c>
      <c r="M27" s="116" t="s">
        <v>48</v>
      </c>
      <c r="N27" s="117" t="s">
        <v>49</v>
      </c>
      <c r="O27" s="123"/>
      <c r="P27" s="121"/>
      <c r="Q27" s="122"/>
      <c r="R27" s="115" t="s">
        <v>47</v>
      </c>
      <c r="S27" s="116" t="s">
        <v>48</v>
      </c>
      <c r="T27" s="117" t="s">
        <v>49</v>
      </c>
      <c r="U27" s="123"/>
      <c r="V27" s="121"/>
      <c r="W27" s="122"/>
      <c r="X27" s="115" t="s">
        <v>47</v>
      </c>
      <c r="Y27" s="116" t="s">
        <v>48</v>
      </c>
      <c r="Z27" s="117" t="s">
        <v>49</v>
      </c>
      <c r="AA27" s="123"/>
      <c r="AB27" s="121"/>
      <c r="AC27" s="122"/>
      <c r="AD27" s="124"/>
      <c r="AE27" s="1"/>
      <c r="AF27" s="1"/>
    </row>
    <row r="28" spans="1:32" ht="15.75" thickBot="1" x14ac:dyDescent="0.3">
      <c r="A28" s="1"/>
      <c r="B28" s="50" t="s">
        <v>50</v>
      </c>
      <c r="C28" s="51" t="s">
        <v>51</v>
      </c>
      <c r="D28" s="125">
        <v>142.19999999999999</v>
      </c>
      <c r="E28" s="125">
        <v>0</v>
      </c>
      <c r="F28" s="125">
        <v>0</v>
      </c>
      <c r="G28" s="126">
        <f>SUM(D28:F28)</f>
        <v>142.19999999999999</v>
      </c>
      <c r="H28" s="127"/>
      <c r="I28" s="128"/>
      <c r="J28" s="129">
        <v>0</v>
      </c>
      <c r="K28" s="130">
        <f>G28+J28</f>
        <v>142.19999999999999</v>
      </c>
      <c r="L28" s="131">
        <v>280</v>
      </c>
      <c r="M28" s="125">
        <v>0</v>
      </c>
      <c r="N28" s="125">
        <v>12</v>
      </c>
      <c r="O28" s="129">
        <f>SUM(L28:N28)</f>
        <v>292</v>
      </c>
      <c r="P28" s="129">
        <v>5</v>
      </c>
      <c r="Q28" s="130">
        <f>O28+P28</f>
        <v>297</v>
      </c>
      <c r="R28" s="131">
        <v>69.7</v>
      </c>
      <c r="S28" s="125">
        <v>0</v>
      </c>
      <c r="T28" s="125">
        <v>0</v>
      </c>
      <c r="U28" s="129">
        <f>SUM(R28:T28)</f>
        <v>69.7</v>
      </c>
      <c r="V28" s="129">
        <v>0</v>
      </c>
      <c r="W28" s="130">
        <f>U28+V28</f>
        <v>69.7</v>
      </c>
      <c r="X28" s="131">
        <f>L28-20</f>
        <v>260</v>
      </c>
      <c r="Y28" s="125">
        <v>0</v>
      </c>
      <c r="Z28" s="125">
        <v>10</v>
      </c>
      <c r="AA28" s="129">
        <f>SUM(X28:Z28)</f>
        <v>270</v>
      </c>
      <c r="AB28" s="129">
        <v>5.3</v>
      </c>
      <c r="AC28" s="130">
        <f>AA28+AB28</f>
        <v>275.3</v>
      </c>
      <c r="AD28" s="60">
        <f t="shared" ref="AD28:AD41" si="13">(AC28/Q28)</f>
        <v>0.92693602693602695</v>
      </c>
      <c r="AE28" s="1"/>
      <c r="AF28" s="1"/>
    </row>
    <row r="29" spans="1:32" x14ac:dyDescent="0.25">
      <c r="A29" s="1"/>
      <c r="B29" s="61" t="s">
        <v>52</v>
      </c>
      <c r="C29" s="76" t="s">
        <v>53</v>
      </c>
      <c r="D29" s="132">
        <v>511.7</v>
      </c>
      <c r="E29" s="132">
        <f>509+175.8</f>
        <v>684.8</v>
      </c>
      <c r="F29" s="132">
        <v>1172.4000000000001</v>
      </c>
      <c r="G29" s="133">
        <f t="shared" ref="G29:G38" si="14">SUM(D29:F29)</f>
        <v>2368.9</v>
      </c>
      <c r="H29" s="134"/>
      <c r="I29" s="135"/>
      <c r="J29" s="136">
        <v>62.4</v>
      </c>
      <c r="K29" s="59">
        <f t="shared" ref="K29:K38" si="15">G29+J29</f>
        <v>2431.3000000000002</v>
      </c>
      <c r="L29" s="137">
        <v>530.79999999999995</v>
      </c>
      <c r="M29" s="132">
        <v>646</v>
      </c>
      <c r="N29" s="132">
        <v>2005</v>
      </c>
      <c r="O29" s="136">
        <f t="shared" ref="O29:O38" si="16">SUM(L29:N29)</f>
        <v>3181.8</v>
      </c>
      <c r="P29" s="136">
        <v>150</v>
      </c>
      <c r="Q29" s="59">
        <f t="shared" ref="Q29:Q38" si="17">O29+P29</f>
        <v>3331.8</v>
      </c>
      <c r="R29" s="137">
        <v>408.3</v>
      </c>
      <c r="S29" s="132">
        <v>170.7</v>
      </c>
      <c r="T29" s="132">
        <v>1186.3</v>
      </c>
      <c r="U29" s="136">
        <f t="shared" ref="U29:U38" si="18">SUM(R29:T29)</f>
        <v>1765.3</v>
      </c>
      <c r="V29" s="136">
        <v>117.6</v>
      </c>
      <c r="W29" s="59">
        <f t="shared" ref="W29:W38" si="19">U29+V29</f>
        <v>1882.8999999999999</v>
      </c>
      <c r="X29" s="138">
        <f>L29-29.1+10+46.1+5+100-2+0.4</f>
        <v>661.19999999999993</v>
      </c>
      <c r="Y29" s="132">
        <f>140+150</f>
        <v>290</v>
      </c>
      <c r="Z29" s="132">
        <v>2080</v>
      </c>
      <c r="AA29" s="136">
        <f t="shared" ref="AA29:AA38" si="20">SUM(X29:Z29)</f>
        <v>3031.2</v>
      </c>
      <c r="AB29" s="136">
        <v>280</v>
      </c>
      <c r="AC29" s="59">
        <f t="shared" ref="AC29:AC38" si="21">AA29+AB29</f>
        <v>3311.2</v>
      </c>
      <c r="AD29" s="60">
        <f t="shared" si="13"/>
        <v>0.99381715589171005</v>
      </c>
      <c r="AE29" s="1"/>
      <c r="AF29" s="1"/>
    </row>
    <row r="30" spans="1:32" x14ac:dyDescent="0.25">
      <c r="A30" s="1"/>
      <c r="B30" s="61" t="s">
        <v>54</v>
      </c>
      <c r="C30" s="76" t="s">
        <v>55</v>
      </c>
      <c r="D30" s="132">
        <v>1905.9</v>
      </c>
      <c r="E30" s="132">
        <v>0</v>
      </c>
      <c r="F30" s="132">
        <v>0</v>
      </c>
      <c r="G30" s="133">
        <f t="shared" si="14"/>
        <v>1905.9</v>
      </c>
      <c r="H30" s="134"/>
      <c r="I30" s="135"/>
      <c r="J30" s="136">
        <v>121.1</v>
      </c>
      <c r="K30" s="59">
        <f t="shared" si="15"/>
        <v>2027</v>
      </c>
      <c r="L30" s="137">
        <v>3614.7</v>
      </c>
      <c r="M30" s="132">
        <v>0</v>
      </c>
      <c r="N30" s="132">
        <v>0</v>
      </c>
      <c r="O30" s="136">
        <f t="shared" si="16"/>
        <v>3614.7</v>
      </c>
      <c r="P30" s="136">
        <v>120</v>
      </c>
      <c r="Q30" s="59">
        <f>O30+P30</f>
        <v>3734.7</v>
      </c>
      <c r="R30" s="137">
        <v>1404.4</v>
      </c>
      <c r="S30" s="132">
        <v>0</v>
      </c>
      <c r="T30" s="132">
        <v>0</v>
      </c>
      <c r="U30" s="136">
        <f t="shared" si="18"/>
        <v>1404.4</v>
      </c>
      <c r="V30" s="136">
        <v>7.8</v>
      </c>
      <c r="W30" s="59">
        <f t="shared" si="19"/>
        <v>1412.2</v>
      </c>
      <c r="X30" s="139">
        <f>L30-1000</f>
        <v>2614.6999999999998</v>
      </c>
      <c r="Y30" s="132">
        <v>0</v>
      </c>
      <c r="Z30" s="132">
        <v>0</v>
      </c>
      <c r="AA30" s="136">
        <f t="shared" si="20"/>
        <v>2614.6999999999998</v>
      </c>
      <c r="AB30" s="136">
        <v>40</v>
      </c>
      <c r="AC30" s="59">
        <f t="shared" si="21"/>
        <v>2654.7</v>
      </c>
      <c r="AD30" s="60">
        <f t="shared" si="13"/>
        <v>0.71082014619648159</v>
      </c>
      <c r="AE30" s="1"/>
      <c r="AF30" s="1"/>
    </row>
    <row r="31" spans="1:32" x14ac:dyDescent="0.25">
      <c r="A31" s="1"/>
      <c r="B31" s="61" t="s">
        <v>56</v>
      </c>
      <c r="C31" s="76" t="s">
        <v>57</v>
      </c>
      <c r="D31" s="132">
        <v>862.6</v>
      </c>
      <c r="E31" s="132">
        <v>17.899999999999999</v>
      </c>
      <c r="F31" s="132">
        <v>5.8</v>
      </c>
      <c r="G31" s="133">
        <f t="shared" si="14"/>
        <v>886.3</v>
      </c>
      <c r="H31" s="134"/>
      <c r="I31" s="135"/>
      <c r="J31" s="136">
        <v>0</v>
      </c>
      <c r="K31" s="59">
        <f t="shared" si="15"/>
        <v>886.3</v>
      </c>
      <c r="L31" s="137">
        <v>889</v>
      </c>
      <c r="M31" s="132">
        <v>152</v>
      </c>
      <c r="N31" s="132">
        <v>53</v>
      </c>
      <c r="O31" s="136">
        <f t="shared" si="16"/>
        <v>1094</v>
      </c>
      <c r="P31" s="136">
        <v>2</v>
      </c>
      <c r="Q31" s="59">
        <f t="shared" si="17"/>
        <v>1096</v>
      </c>
      <c r="R31" s="137">
        <v>564.79999999999995</v>
      </c>
      <c r="S31" s="132">
        <v>52.6</v>
      </c>
      <c r="T31" s="132">
        <v>6.2</v>
      </c>
      <c r="U31" s="136">
        <f t="shared" si="18"/>
        <v>623.6</v>
      </c>
      <c r="V31" s="136">
        <v>0</v>
      </c>
      <c r="W31" s="59">
        <f t="shared" si="19"/>
        <v>623.6</v>
      </c>
      <c r="X31" s="139">
        <f>L31-30+45+100-3.4</f>
        <v>1000.6</v>
      </c>
      <c r="Y31" s="132">
        <f>95</f>
        <v>95</v>
      </c>
      <c r="Z31" s="132">
        <v>40</v>
      </c>
      <c r="AA31" s="136">
        <f t="shared" si="20"/>
        <v>1135.5999999999999</v>
      </c>
      <c r="AB31" s="136">
        <v>0</v>
      </c>
      <c r="AC31" s="59">
        <f t="shared" si="21"/>
        <v>1135.5999999999999</v>
      </c>
      <c r="AD31" s="60">
        <f>(AC31/Q31)</f>
        <v>1.0361313868613138</v>
      </c>
      <c r="AE31" s="1"/>
      <c r="AF31" s="1"/>
    </row>
    <row r="32" spans="1:32" x14ac:dyDescent="0.25">
      <c r="A32" s="1"/>
      <c r="B32" s="61" t="s">
        <v>58</v>
      </c>
      <c r="C32" s="76" t="s">
        <v>59</v>
      </c>
      <c r="D32" s="140">
        <f>SUM(D33:D34)</f>
        <v>437.2</v>
      </c>
      <c r="E32" s="132">
        <f t="shared" ref="E32:F32" si="22">SUM(E33:E34)</f>
        <v>31493.9</v>
      </c>
      <c r="F32" s="140">
        <f t="shared" si="22"/>
        <v>0.9</v>
      </c>
      <c r="G32" s="133">
        <f t="shared" si="14"/>
        <v>31932.000000000004</v>
      </c>
      <c r="H32" s="134"/>
      <c r="I32" s="135"/>
      <c r="J32" s="136">
        <v>37.200000000000003</v>
      </c>
      <c r="K32" s="59">
        <f t="shared" si="15"/>
        <v>31969.200000000004</v>
      </c>
      <c r="L32" s="141">
        <v>344.7</v>
      </c>
      <c r="M32" s="132">
        <v>31110.799999999999</v>
      </c>
      <c r="N32" s="132">
        <v>0</v>
      </c>
      <c r="O32" s="136">
        <f t="shared" si="16"/>
        <v>31455.5</v>
      </c>
      <c r="P32" s="136">
        <v>154</v>
      </c>
      <c r="Q32" s="59">
        <f t="shared" si="17"/>
        <v>31609.5</v>
      </c>
      <c r="R32" s="141">
        <v>156.19999999999999</v>
      </c>
      <c r="S32" s="132">
        <v>15254.8</v>
      </c>
      <c r="T32" s="132">
        <v>0</v>
      </c>
      <c r="U32" s="136">
        <f t="shared" si="18"/>
        <v>15411</v>
      </c>
      <c r="V32" s="136">
        <v>49.7</v>
      </c>
      <c r="W32" s="59">
        <f t="shared" si="19"/>
        <v>15460.7</v>
      </c>
      <c r="X32" s="137">
        <f>SUM(X33:X34)</f>
        <v>398.8</v>
      </c>
      <c r="Y32" s="132">
        <f>SUM(Y33:Y34)</f>
        <v>35040.6</v>
      </c>
      <c r="Z32" s="132">
        <f>SUM(Z33:Z34)</f>
        <v>0</v>
      </c>
      <c r="AA32" s="136">
        <f t="shared" si="20"/>
        <v>35439.4</v>
      </c>
      <c r="AB32" s="136">
        <f>SUM(AB33:AB34)</f>
        <v>144</v>
      </c>
      <c r="AC32" s="59">
        <f t="shared" si="21"/>
        <v>35583.4</v>
      </c>
      <c r="AD32" s="60">
        <f t="shared" si="13"/>
        <v>1.1257185339850362</v>
      </c>
      <c r="AE32" s="1"/>
      <c r="AF32" s="1"/>
    </row>
    <row r="33" spans="1:32" x14ac:dyDescent="0.25">
      <c r="A33" s="1"/>
      <c r="B33" s="61" t="s">
        <v>60</v>
      </c>
      <c r="C33" s="74" t="s">
        <v>61</v>
      </c>
      <c r="D33" s="140">
        <v>423.3</v>
      </c>
      <c r="E33" s="132">
        <f>341+30708.4</f>
        <v>31049.4</v>
      </c>
      <c r="F33" s="132">
        <v>0.9</v>
      </c>
      <c r="G33" s="133">
        <f t="shared" si="14"/>
        <v>31473.600000000002</v>
      </c>
      <c r="H33" s="134"/>
      <c r="I33" s="135"/>
      <c r="J33" s="136">
        <v>21.3</v>
      </c>
      <c r="K33" s="59">
        <f t="shared" si="15"/>
        <v>31494.9</v>
      </c>
      <c r="L33" s="141">
        <v>304.7</v>
      </c>
      <c r="M33" s="132">
        <v>30908.799999999999</v>
      </c>
      <c r="N33" s="132">
        <v>0</v>
      </c>
      <c r="O33" s="136">
        <f t="shared" si="16"/>
        <v>31213.5</v>
      </c>
      <c r="P33" s="136">
        <v>36</v>
      </c>
      <c r="Q33" s="59">
        <f t="shared" si="17"/>
        <v>31249.5</v>
      </c>
      <c r="R33" s="141">
        <v>73</v>
      </c>
      <c r="S33" s="132">
        <v>14898.599999999999</v>
      </c>
      <c r="T33" s="132">
        <v>0</v>
      </c>
      <c r="U33" s="136">
        <f t="shared" si="18"/>
        <v>14971.599999999999</v>
      </c>
      <c r="V33" s="136">
        <v>17.600000000000001</v>
      </c>
      <c r="W33" s="59">
        <f t="shared" si="19"/>
        <v>14989.199999999999</v>
      </c>
      <c r="X33" s="137">
        <v>288.8</v>
      </c>
      <c r="Y33" s="132">
        <f>31323.6+350+2913.4</f>
        <v>34587</v>
      </c>
      <c r="Z33" s="132">
        <v>0</v>
      </c>
      <c r="AA33" s="136">
        <f t="shared" si="20"/>
        <v>34875.800000000003</v>
      </c>
      <c r="AB33" s="136">
        <v>44</v>
      </c>
      <c r="AC33" s="59">
        <f t="shared" si="21"/>
        <v>34919.800000000003</v>
      </c>
      <c r="AD33" s="60">
        <f t="shared" si="13"/>
        <v>1.1174514792236676</v>
      </c>
      <c r="AE33" s="1"/>
      <c r="AF33" s="1"/>
    </row>
    <row r="34" spans="1:32" x14ac:dyDescent="0.25">
      <c r="A34" s="1"/>
      <c r="B34" s="61" t="s">
        <v>62</v>
      </c>
      <c r="C34" s="142" t="s">
        <v>63</v>
      </c>
      <c r="D34" s="140">
        <v>13.9</v>
      </c>
      <c r="E34" s="132">
        <f>196+179+69.5</f>
        <v>444.5</v>
      </c>
      <c r="F34" s="132">
        <v>0</v>
      </c>
      <c r="G34" s="133">
        <f t="shared" si="14"/>
        <v>458.4</v>
      </c>
      <c r="H34" s="134"/>
      <c r="I34" s="135"/>
      <c r="J34" s="136">
        <v>15.9</v>
      </c>
      <c r="K34" s="59">
        <f t="shared" si="15"/>
        <v>474.29999999999995</v>
      </c>
      <c r="L34" s="141">
        <v>40</v>
      </c>
      <c r="M34" s="132">
        <v>202</v>
      </c>
      <c r="N34" s="132">
        <v>0</v>
      </c>
      <c r="O34" s="136">
        <f>SUM(L34:N34)</f>
        <v>242</v>
      </c>
      <c r="P34" s="136">
        <v>118</v>
      </c>
      <c r="Q34" s="59">
        <f t="shared" si="17"/>
        <v>360</v>
      </c>
      <c r="R34" s="141">
        <v>83.2</v>
      </c>
      <c r="S34" s="132">
        <v>356.2</v>
      </c>
      <c r="T34" s="132">
        <v>0</v>
      </c>
      <c r="U34" s="136">
        <f t="shared" si="18"/>
        <v>439.4</v>
      </c>
      <c r="V34" s="136">
        <v>32.1</v>
      </c>
      <c r="W34" s="59">
        <f t="shared" si="19"/>
        <v>471.5</v>
      </c>
      <c r="X34" s="137">
        <f>110</f>
        <v>110</v>
      </c>
      <c r="Y34" s="132">
        <f>120+333.6</f>
        <v>453.6</v>
      </c>
      <c r="Z34" s="132">
        <v>0</v>
      </c>
      <c r="AA34" s="136">
        <f t="shared" si="20"/>
        <v>563.6</v>
      </c>
      <c r="AB34" s="136">
        <v>100</v>
      </c>
      <c r="AC34" s="59">
        <f t="shared" si="21"/>
        <v>663.6</v>
      </c>
      <c r="AD34" s="60">
        <f t="shared" si="13"/>
        <v>1.8433333333333335</v>
      </c>
      <c r="AE34" s="1"/>
      <c r="AF34" s="1"/>
    </row>
    <row r="35" spans="1:32" x14ac:dyDescent="0.25">
      <c r="A35" s="1"/>
      <c r="B35" s="61" t="s">
        <v>64</v>
      </c>
      <c r="C35" s="76" t="s">
        <v>65</v>
      </c>
      <c r="D35" s="140">
        <v>143.1</v>
      </c>
      <c r="E35" s="132">
        <f>115.3+10313.2</f>
        <v>10428.5</v>
      </c>
      <c r="F35" s="132">
        <v>0.1</v>
      </c>
      <c r="G35" s="133">
        <f>SUM(D35:F35)</f>
        <v>10571.7</v>
      </c>
      <c r="H35" s="134"/>
      <c r="I35" s="135"/>
      <c r="J35" s="136">
        <v>6.1</v>
      </c>
      <c r="K35" s="59">
        <f t="shared" si="15"/>
        <v>10577.800000000001</v>
      </c>
      <c r="L35" s="141">
        <v>110.2</v>
      </c>
      <c r="M35" s="132">
        <v>10497.3</v>
      </c>
      <c r="N35" s="132">
        <v>0</v>
      </c>
      <c r="O35" s="136">
        <f t="shared" si="16"/>
        <v>10607.5</v>
      </c>
      <c r="P35" s="136">
        <v>15</v>
      </c>
      <c r="Q35" s="59">
        <f t="shared" si="17"/>
        <v>10622.5</v>
      </c>
      <c r="R35" s="141">
        <v>49.6</v>
      </c>
      <c r="S35" s="132">
        <v>4871.3</v>
      </c>
      <c r="T35" s="132">
        <v>0</v>
      </c>
      <c r="U35" s="136">
        <f t="shared" si="18"/>
        <v>4920.9000000000005</v>
      </c>
      <c r="V35" s="136">
        <v>5.9</v>
      </c>
      <c r="W35" s="59">
        <f t="shared" si="19"/>
        <v>4926.8</v>
      </c>
      <c r="X35" s="137">
        <f>12+97.7</f>
        <v>109.7</v>
      </c>
      <c r="Y35" s="132">
        <f>10618.7+984.7</f>
        <v>11603.400000000001</v>
      </c>
      <c r="Z35" s="132">
        <v>0</v>
      </c>
      <c r="AA35" s="136">
        <f t="shared" si="20"/>
        <v>11713.100000000002</v>
      </c>
      <c r="AB35" s="136">
        <v>11.7</v>
      </c>
      <c r="AC35" s="59">
        <f t="shared" si="21"/>
        <v>11724.800000000003</v>
      </c>
      <c r="AD35" s="60">
        <f t="shared" si="13"/>
        <v>1.1037702988938576</v>
      </c>
      <c r="AE35" s="1"/>
      <c r="AF35" s="1"/>
    </row>
    <row r="36" spans="1:32" x14ac:dyDescent="0.25">
      <c r="A36" s="1"/>
      <c r="B36" s="61" t="s">
        <v>66</v>
      </c>
      <c r="C36" s="76" t="s">
        <v>67</v>
      </c>
      <c r="D36" s="132">
        <v>0.1</v>
      </c>
      <c r="E36" s="132">
        <v>0</v>
      </c>
      <c r="F36" s="132">
        <v>0</v>
      </c>
      <c r="G36" s="133">
        <f t="shared" si="14"/>
        <v>0.1</v>
      </c>
      <c r="H36" s="134"/>
      <c r="I36" s="135"/>
      <c r="J36" s="136">
        <v>0</v>
      </c>
      <c r="K36" s="59">
        <f t="shared" si="15"/>
        <v>0.1</v>
      </c>
      <c r="L36" s="137">
        <v>2</v>
      </c>
      <c r="M36" s="132">
        <v>0</v>
      </c>
      <c r="N36" s="132">
        <v>0</v>
      </c>
      <c r="O36" s="136">
        <f t="shared" si="16"/>
        <v>2</v>
      </c>
      <c r="P36" s="136">
        <v>0</v>
      </c>
      <c r="Q36" s="59">
        <f t="shared" si="17"/>
        <v>2</v>
      </c>
      <c r="R36" s="137">
        <v>0</v>
      </c>
      <c r="S36" s="132">
        <v>0</v>
      </c>
      <c r="T36" s="132">
        <v>6.5</v>
      </c>
      <c r="U36" s="136">
        <f t="shared" si="18"/>
        <v>6.5</v>
      </c>
      <c r="V36" s="136">
        <v>0</v>
      </c>
      <c r="W36" s="59">
        <f t="shared" si="19"/>
        <v>6.5</v>
      </c>
      <c r="X36" s="137">
        <v>0</v>
      </c>
      <c r="Y36" s="132">
        <v>0</v>
      </c>
      <c r="Z36" s="132">
        <v>2</v>
      </c>
      <c r="AA36" s="136">
        <f t="shared" si="20"/>
        <v>2</v>
      </c>
      <c r="AB36" s="136">
        <v>0</v>
      </c>
      <c r="AC36" s="59">
        <f t="shared" si="21"/>
        <v>2</v>
      </c>
      <c r="AD36" s="60">
        <f t="shared" si="13"/>
        <v>1</v>
      </c>
      <c r="AE36" s="1"/>
      <c r="AF36" s="1"/>
    </row>
    <row r="37" spans="1:32" x14ac:dyDescent="0.25">
      <c r="A37" s="1"/>
      <c r="B37" s="61" t="s">
        <v>68</v>
      </c>
      <c r="C37" s="76" t="s">
        <v>69</v>
      </c>
      <c r="D37" s="132">
        <v>902.6</v>
      </c>
      <c r="E37" s="132">
        <v>0</v>
      </c>
      <c r="F37" s="132">
        <v>892.9</v>
      </c>
      <c r="G37" s="133">
        <f t="shared" si="14"/>
        <v>1795.5</v>
      </c>
      <c r="H37" s="134"/>
      <c r="I37" s="135"/>
      <c r="J37" s="136">
        <v>0</v>
      </c>
      <c r="K37" s="59">
        <f t="shared" si="15"/>
        <v>1795.5</v>
      </c>
      <c r="L37" s="137">
        <v>910</v>
      </c>
      <c r="M37" s="132">
        <v>0</v>
      </c>
      <c r="N37" s="132">
        <v>892</v>
      </c>
      <c r="O37" s="136">
        <f t="shared" si="16"/>
        <v>1802</v>
      </c>
      <c r="P37" s="136">
        <v>0</v>
      </c>
      <c r="Q37" s="59">
        <f t="shared" si="17"/>
        <v>1802</v>
      </c>
      <c r="R37" s="137">
        <v>450.6</v>
      </c>
      <c r="S37" s="132">
        <v>0</v>
      </c>
      <c r="T37" s="132">
        <v>448.7</v>
      </c>
      <c r="U37" s="136">
        <f t="shared" si="18"/>
        <v>899.3</v>
      </c>
      <c r="V37" s="136">
        <v>0</v>
      </c>
      <c r="W37" s="59">
        <f t="shared" si="19"/>
        <v>899.3</v>
      </c>
      <c r="X37" s="137">
        <v>990</v>
      </c>
      <c r="Y37" s="132">
        <v>0</v>
      </c>
      <c r="Z37" s="132">
        <v>897.3</v>
      </c>
      <c r="AA37" s="136">
        <f t="shared" si="20"/>
        <v>1887.3</v>
      </c>
      <c r="AB37" s="136">
        <v>0</v>
      </c>
      <c r="AC37" s="59">
        <f t="shared" si="21"/>
        <v>1887.3</v>
      </c>
      <c r="AD37" s="60">
        <f t="shared" si="13"/>
        <v>1.0473362930077692</v>
      </c>
      <c r="AE37" s="1"/>
      <c r="AF37" s="1"/>
    </row>
    <row r="38" spans="1:32" ht="15.75" thickBot="1" x14ac:dyDescent="0.3">
      <c r="A38" s="1"/>
      <c r="B38" s="143" t="s">
        <v>70</v>
      </c>
      <c r="C38" s="144" t="s">
        <v>71</v>
      </c>
      <c r="D38" s="145">
        <f>-8.1+15.3+3.3+53.1-0.4+1+68+32.7+4+(2)</f>
        <v>170.89999999999998</v>
      </c>
      <c r="E38" s="145">
        <f>694.7+33.1+130.2+786.7+8-2</f>
        <v>1650.7</v>
      </c>
      <c r="F38" s="145">
        <v>0</v>
      </c>
      <c r="G38" s="133">
        <f t="shared" si="14"/>
        <v>1821.6</v>
      </c>
      <c r="H38" s="146"/>
      <c r="I38" s="147"/>
      <c r="J38" s="148">
        <v>0.4</v>
      </c>
      <c r="K38" s="86">
        <f t="shared" si="15"/>
        <v>1822</v>
      </c>
      <c r="L38" s="149">
        <v>239.3</v>
      </c>
      <c r="M38" s="145">
        <v>2006</v>
      </c>
      <c r="N38" s="145">
        <v>50</v>
      </c>
      <c r="O38" s="148">
        <f t="shared" si="16"/>
        <v>2295.3000000000002</v>
      </c>
      <c r="P38" s="148">
        <v>1</v>
      </c>
      <c r="Q38" s="86">
        <f t="shared" si="17"/>
        <v>2296.3000000000002</v>
      </c>
      <c r="R38" s="149">
        <v>151.1</v>
      </c>
      <c r="S38" s="145">
        <v>966.7</v>
      </c>
      <c r="T38" s="145">
        <v>0</v>
      </c>
      <c r="U38" s="148">
        <f t="shared" si="18"/>
        <v>1117.8</v>
      </c>
      <c r="V38" s="148">
        <v>0.4</v>
      </c>
      <c r="W38" s="86">
        <f t="shared" si="19"/>
        <v>1118.2</v>
      </c>
      <c r="X38" s="149">
        <f>L38-40-9+ 5.7</f>
        <v>196</v>
      </c>
      <c r="Y38" s="145">
        <f>626.5+365+58.3+183.7+143</f>
        <v>1376.5</v>
      </c>
      <c r="Z38" s="145">
        <v>158</v>
      </c>
      <c r="AA38" s="148">
        <f t="shared" si="20"/>
        <v>1730.5</v>
      </c>
      <c r="AB38" s="148">
        <v>1</v>
      </c>
      <c r="AC38" s="86">
        <f t="shared" si="21"/>
        <v>1731.5</v>
      </c>
      <c r="AD38" s="88">
        <f t="shared" si="13"/>
        <v>0.75403910638853799</v>
      </c>
      <c r="AE38" s="1"/>
      <c r="AF38" s="1"/>
    </row>
    <row r="39" spans="1:32" ht="15.75" thickBot="1" x14ac:dyDescent="0.3">
      <c r="A39" s="1"/>
      <c r="B39" s="89" t="s">
        <v>72</v>
      </c>
      <c r="C39" s="150" t="s">
        <v>73</v>
      </c>
      <c r="D39" s="151">
        <f>SUM(D35:D38)+SUM(D28:D32)</f>
        <v>5076.2999999999993</v>
      </c>
      <c r="E39" s="151">
        <f>SUM(E35:E38)+SUM(E28:E32)</f>
        <v>44275.8</v>
      </c>
      <c r="F39" s="151">
        <f>SUM(F35:F38)+SUM(F28:F32)</f>
        <v>2072.1000000000004</v>
      </c>
      <c r="G39" s="152">
        <f>SUM(D39:F39)</f>
        <v>51424.200000000004</v>
      </c>
      <c r="H39" s="153"/>
      <c r="I39" s="154"/>
      <c r="J39" s="155">
        <f>SUM(J28:J32)+SUM(J35:J38)</f>
        <v>227.2</v>
      </c>
      <c r="K39" s="156">
        <f>SUM(K35:K38)+SUM(K28:K32)</f>
        <v>51651.400000000009</v>
      </c>
      <c r="L39" s="151">
        <f>SUM(L35:L38)+SUM(L28:L32)</f>
        <v>6920.7</v>
      </c>
      <c r="M39" s="151">
        <f>SUM(M35:M38)+SUM(M28:M32)</f>
        <v>44412.1</v>
      </c>
      <c r="N39" s="151">
        <f>SUM(N35:N38)+SUM(N28:N32)</f>
        <v>3012</v>
      </c>
      <c r="O39" s="157">
        <f>SUM(L39:N39)</f>
        <v>54344.799999999996</v>
      </c>
      <c r="P39" s="155">
        <f>SUM(P28:P32)+SUM(P35:P38)</f>
        <v>447</v>
      </c>
      <c r="Q39" s="156">
        <f>SUM(Q35:Q38)+SUM(Q28:Q32)</f>
        <v>54791.8</v>
      </c>
      <c r="R39" s="151">
        <f>SUM(R35:R38)+SUM(R28:R32)</f>
        <v>3254.7</v>
      </c>
      <c r="S39" s="151">
        <f>SUM(S35:S38)+SUM(S28:S32)</f>
        <v>21316.1</v>
      </c>
      <c r="T39" s="151">
        <f>SUM(T35:T38)+SUM(T28:T32)</f>
        <v>1647.7</v>
      </c>
      <c r="U39" s="157">
        <f>SUM(R39:T39)</f>
        <v>26218.5</v>
      </c>
      <c r="V39" s="155">
        <f>SUM(V28:V32)+SUM(V35:V38)</f>
        <v>181.4</v>
      </c>
      <c r="W39" s="156">
        <f>SUM(W35:W38)+SUM(W28:W32)</f>
        <v>26399.9</v>
      </c>
      <c r="X39" s="151">
        <f>SUM(X35:X38)+SUM(X28:X32)</f>
        <v>6231</v>
      </c>
      <c r="Y39" s="151">
        <f>SUM(Y35:Y38)+SUM(Y28:Y32)</f>
        <v>48405.5</v>
      </c>
      <c r="Z39" s="151">
        <f>SUM(Z35:Z38)+SUM(Z28:Z32)</f>
        <v>3187.3</v>
      </c>
      <c r="AA39" s="157">
        <f>SUM(X39:Z39)</f>
        <v>57823.8</v>
      </c>
      <c r="AB39" s="155">
        <f>SUM(AB28:AB32)+SUM(AB35:AB38)</f>
        <v>482</v>
      </c>
      <c r="AC39" s="156">
        <f>SUM(AC35:AC38)+SUM(AC28:AC32)</f>
        <v>58305.8</v>
      </c>
      <c r="AD39" s="158">
        <f t="shared" si="13"/>
        <v>1.0641336842374225</v>
      </c>
      <c r="AE39" s="1"/>
      <c r="AF39" s="1"/>
    </row>
    <row r="40" spans="1:32" ht="19.5" thickBot="1" x14ac:dyDescent="0.35">
      <c r="A40" s="1"/>
      <c r="B40" s="159" t="s">
        <v>74</v>
      </c>
      <c r="C40" s="160" t="s">
        <v>75</v>
      </c>
      <c r="D40" s="161">
        <f>D24-D39</f>
        <v>-71.199999999999818</v>
      </c>
      <c r="E40" s="161">
        <f>E24-E39</f>
        <v>0</v>
      </c>
      <c r="F40" s="161">
        <f>F24-F39</f>
        <v>127.29999999999973</v>
      </c>
      <c r="G40" s="162">
        <f>G24-G39</f>
        <v>56.099999999998545</v>
      </c>
      <c r="H40" s="163"/>
      <c r="I40" s="163"/>
      <c r="J40" s="162">
        <f t="shared" ref="J40:W40" si="23">J24-J39</f>
        <v>94.900000000000034</v>
      </c>
      <c r="K40" s="164">
        <f>K24-K39</f>
        <v>150.99999999999272</v>
      </c>
      <c r="L40" s="161">
        <f t="shared" si="23"/>
        <v>0</v>
      </c>
      <c r="M40" s="161">
        <f t="shared" si="23"/>
        <v>0</v>
      </c>
      <c r="N40" s="161">
        <f t="shared" si="23"/>
        <v>0</v>
      </c>
      <c r="O40" s="162">
        <f t="shared" si="23"/>
        <v>0</v>
      </c>
      <c r="P40" s="162">
        <f t="shared" si="23"/>
        <v>0</v>
      </c>
      <c r="Q40" s="164">
        <f t="shared" si="23"/>
        <v>0</v>
      </c>
      <c r="R40" s="161">
        <f t="shared" si="23"/>
        <v>-168.09999999999991</v>
      </c>
      <c r="S40" s="161">
        <f t="shared" si="23"/>
        <v>941</v>
      </c>
      <c r="T40" s="161">
        <f t="shared" si="23"/>
        <v>372.79999999999995</v>
      </c>
      <c r="U40" s="162">
        <f t="shared" si="23"/>
        <v>1145.6999999999971</v>
      </c>
      <c r="V40" s="162">
        <f t="shared" si="23"/>
        <v>76.599999999999994</v>
      </c>
      <c r="W40" s="164">
        <f t="shared" si="23"/>
        <v>1222.2999999999956</v>
      </c>
      <c r="X40" s="161">
        <f>X24-X39</f>
        <v>0</v>
      </c>
      <c r="Y40" s="161">
        <f t="shared" ref="Y40:AC40" si="24">Y24-Y39</f>
        <v>0</v>
      </c>
      <c r="Z40" s="161">
        <f>Z24-Z39</f>
        <v>0</v>
      </c>
      <c r="AA40" s="162">
        <f t="shared" si="24"/>
        <v>0</v>
      </c>
      <c r="AB40" s="162">
        <f t="shared" si="24"/>
        <v>0</v>
      </c>
      <c r="AC40" s="164">
        <f t="shared" si="24"/>
        <v>0</v>
      </c>
      <c r="AD40" s="165" t="e">
        <f t="shared" si="13"/>
        <v>#DIV/0!</v>
      </c>
      <c r="AE40" s="1"/>
      <c r="AF40" s="1"/>
    </row>
    <row r="41" spans="1:32" ht="15.75" thickBot="1" x14ac:dyDescent="0.3">
      <c r="A41" s="1"/>
      <c r="B41" s="166" t="s">
        <v>76</v>
      </c>
      <c r="C41" s="167" t="s">
        <v>77</v>
      </c>
      <c r="D41" s="168"/>
      <c r="E41" s="169"/>
      <c r="F41" s="169"/>
      <c r="G41" s="170"/>
      <c r="H41" s="171"/>
      <c r="I41" s="171"/>
      <c r="J41" s="172"/>
      <c r="K41" s="173">
        <f>K40-D16</f>
        <v>-4206.4000000000069</v>
      </c>
      <c r="L41" s="168"/>
      <c r="M41" s="169"/>
      <c r="N41" s="169"/>
      <c r="O41" s="174"/>
      <c r="P41" s="175"/>
      <c r="Q41" s="173">
        <f>Q40-L16</f>
        <v>-5060</v>
      </c>
      <c r="R41" s="168"/>
      <c r="S41" s="169"/>
      <c r="T41" s="169"/>
      <c r="U41" s="174"/>
      <c r="V41" s="175"/>
      <c r="W41" s="173">
        <f>W40-R16</f>
        <v>-1362.7000000000044</v>
      </c>
      <c r="X41" s="168"/>
      <c r="Y41" s="169"/>
      <c r="Z41" s="169"/>
      <c r="AA41" s="174"/>
      <c r="AB41" s="175"/>
      <c r="AC41" s="173">
        <f>AC40-X16</f>
        <v>-5747.7</v>
      </c>
      <c r="AD41" s="60">
        <f t="shared" si="13"/>
        <v>1.135909090909091</v>
      </c>
      <c r="AE41" s="1"/>
      <c r="AF41" s="1"/>
    </row>
    <row r="42" spans="1:32" ht="8.25" customHeight="1" thickBot="1" x14ac:dyDescent="0.3">
      <c r="A42" s="1"/>
      <c r="B42" s="176"/>
      <c r="C42" s="177"/>
      <c r="D42" s="178"/>
      <c r="E42" s="179"/>
      <c r="F42" s="179"/>
      <c r="G42" s="1"/>
      <c r="H42" s="1"/>
      <c r="I42" s="1"/>
      <c r="J42" s="179"/>
      <c r="K42" s="179"/>
      <c r="L42" s="178"/>
      <c r="M42" s="179"/>
      <c r="N42" s="179"/>
      <c r="O42" s="1"/>
      <c r="P42" s="179"/>
      <c r="Q42" s="179"/>
      <c r="R42" s="179"/>
      <c r="S42" s="179"/>
      <c r="T42" s="179"/>
      <c r="U42" s="179"/>
      <c r="V42" s="179"/>
      <c r="W42" s="179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thickBot="1" x14ac:dyDescent="0.3">
      <c r="A43" s="1"/>
      <c r="B43" s="176"/>
      <c r="C43" s="180" t="s">
        <v>78</v>
      </c>
      <c r="D43" s="181" t="s">
        <v>79</v>
      </c>
      <c r="E43" s="182" t="s">
        <v>80</v>
      </c>
      <c r="F43" s="183" t="s">
        <v>81</v>
      </c>
      <c r="G43" s="179"/>
      <c r="H43" s="179"/>
      <c r="I43" s="179"/>
      <c r="J43" s="179"/>
      <c r="K43" s="184"/>
      <c r="L43" s="181" t="s">
        <v>79</v>
      </c>
      <c r="M43" s="182" t="s">
        <v>80</v>
      </c>
      <c r="N43" s="183" t="s">
        <v>81</v>
      </c>
      <c r="O43" s="179"/>
      <c r="P43" s="179"/>
      <c r="Q43" s="179"/>
      <c r="R43" s="181" t="s">
        <v>79</v>
      </c>
      <c r="S43" s="182" t="s">
        <v>80</v>
      </c>
      <c r="T43" s="183" t="s">
        <v>81</v>
      </c>
      <c r="U43" s="1"/>
      <c r="V43" s="1"/>
      <c r="W43" s="1"/>
      <c r="X43" s="181" t="s">
        <v>79</v>
      </c>
      <c r="Y43" s="182" t="s">
        <v>80</v>
      </c>
      <c r="Z43" s="183" t="s">
        <v>81</v>
      </c>
      <c r="AA43" s="1"/>
      <c r="AB43" s="1"/>
      <c r="AC43" s="1"/>
      <c r="AD43" s="1"/>
      <c r="AE43" s="1"/>
      <c r="AF43" s="1"/>
    </row>
    <row r="44" spans="1:32" ht="15.75" thickBot="1" x14ac:dyDescent="0.3">
      <c r="A44" s="1"/>
      <c r="B44" s="176"/>
      <c r="C44" s="185"/>
      <c r="D44" s="186">
        <v>638.6</v>
      </c>
      <c r="E44" s="187">
        <v>638.6</v>
      </c>
      <c r="F44" s="188">
        <v>0</v>
      </c>
      <c r="G44" s="189"/>
      <c r="H44" s="189"/>
      <c r="I44" s="189"/>
      <c r="J44" s="189"/>
      <c r="K44" s="190"/>
      <c r="L44" s="186">
        <v>637.5</v>
      </c>
      <c r="M44" s="187">
        <v>637.5</v>
      </c>
      <c r="N44" s="188">
        <v>0</v>
      </c>
      <c r="O44" s="191"/>
      <c r="P44" s="191"/>
      <c r="Q44" s="191"/>
      <c r="R44" s="186">
        <v>321</v>
      </c>
      <c r="S44" s="187">
        <v>321</v>
      </c>
      <c r="T44" s="188">
        <v>0</v>
      </c>
      <c r="U44" s="6"/>
      <c r="V44" s="6"/>
      <c r="W44" s="6"/>
      <c r="X44" s="186">
        <v>642.1</v>
      </c>
      <c r="Y44" s="187">
        <v>642.1</v>
      </c>
      <c r="Z44" s="188">
        <v>0</v>
      </c>
      <c r="AA44" s="6"/>
      <c r="AB44" s="1"/>
      <c r="AC44" s="1"/>
      <c r="AD44" s="1"/>
      <c r="AE44" s="1"/>
      <c r="AF44" s="1"/>
    </row>
    <row r="45" spans="1:32" ht="8.25" customHeight="1" thickBot="1" x14ac:dyDescent="0.3">
      <c r="A45" s="1"/>
      <c r="B45" s="176"/>
      <c r="C45" s="177"/>
      <c r="D45" s="191"/>
      <c r="E45" s="189"/>
      <c r="F45" s="189"/>
      <c r="G45" s="189"/>
      <c r="H45" s="189"/>
      <c r="I45" s="189"/>
      <c r="J45" s="189"/>
      <c r="K45" s="190"/>
      <c r="L45" s="189"/>
      <c r="M45" s="189"/>
      <c r="N45" s="189"/>
      <c r="O45" s="189"/>
      <c r="P45" s="189"/>
      <c r="Q45" s="190"/>
      <c r="R45" s="190"/>
      <c r="S45" s="190"/>
      <c r="T45" s="190"/>
      <c r="U45" s="190"/>
      <c r="V45" s="190"/>
      <c r="W45" s="190"/>
      <c r="X45" s="6"/>
      <c r="Y45" s="6"/>
      <c r="Z45" s="6"/>
      <c r="AA45" s="6"/>
      <c r="AB45" s="1"/>
      <c r="AC45" s="1"/>
      <c r="AD45" s="1"/>
      <c r="AE45" s="1"/>
      <c r="AF45" s="1"/>
    </row>
    <row r="46" spans="1:32" ht="37.5" customHeight="1" thickBot="1" x14ac:dyDescent="0.3">
      <c r="A46" s="1"/>
      <c r="B46" s="176"/>
      <c r="C46" s="180" t="s">
        <v>82</v>
      </c>
      <c r="D46" s="192" t="s">
        <v>83</v>
      </c>
      <c r="E46" s="193" t="s">
        <v>84</v>
      </c>
      <c r="F46" s="189"/>
      <c r="G46" s="189"/>
      <c r="H46" s="189"/>
      <c r="I46" s="189"/>
      <c r="J46" s="189"/>
      <c r="K46" s="190"/>
      <c r="L46" s="192" t="s">
        <v>83</v>
      </c>
      <c r="M46" s="193" t="s">
        <v>84</v>
      </c>
      <c r="N46" s="194"/>
      <c r="O46" s="194"/>
      <c r="P46" s="6"/>
      <c r="Q46" s="6"/>
      <c r="R46" s="192" t="s">
        <v>83</v>
      </c>
      <c r="S46" s="193" t="s">
        <v>84</v>
      </c>
      <c r="T46" s="6"/>
      <c r="U46" s="6"/>
      <c r="V46" s="6"/>
      <c r="W46" s="6"/>
      <c r="X46" s="192" t="s">
        <v>83</v>
      </c>
      <c r="Y46" s="193" t="s">
        <v>84</v>
      </c>
      <c r="Z46" s="6"/>
      <c r="AA46" s="6"/>
      <c r="AB46" s="1"/>
      <c r="AC46" s="1"/>
      <c r="AD46" s="1"/>
      <c r="AE46" s="1"/>
      <c r="AF46" s="1"/>
    </row>
    <row r="47" spans="1:32" ht="15.75" thickBot="1" x14ac:dyDescent="0.3">
      <c r="A47" s="1"/>
      <c r="B47" s="195"/>
      <c r="C47" s="196"/>
      <c r="D47" s="186">
        <v>0</v>
      </c>
      <c r="E47" s="197">
        <v>0</v>
      </c>
      <c r="F47" s="189"/>
      <c r="G47" s="189"/>
      <c r="H47" s="189"/>
      <c r="I47" s="189"/>
      <c r="J47" s="189"/>
      <c r="K47" s="190"/>
      <c r="L47" s="186">
        <v>0</v>
      </c>
      <c r="M47" s="197">
        <v>0</v>
      </c>
      <c r="N47" s="198"/>
      <c r="O47" s="198"/>
      <c r="P47" s="6"/>
      <c r="Q47" s="6"/>
      <c r="R47" s="186">
        <v>0</v>
      </c>
      <c r="S47" s="197">
        <v>0</v>
      </c>
      <c r="T47" s="6"/>
      <c r="U47" s="6"/>
      <c r="V47" s="6"/>
      <c r="W47" s="6"/>
      <c r="X47" s="186">
        <v>0</v>
      </c>
      <c r="Y47" s="197">
        <v>0</v>
      </c>
      <c r="Z47" s="6"/>
      <c r="AA47" s="6"/>
      <c r="AB47" s="1"/>
      <c r="AC47" s="1"/>
      <c r="AD47" s="1"/>
      <c r="AE47" s="1"/>
      <c r="AF47" s="1"/>
    </row>
    <row r="48" spans="1:32" x14ac:dyDescent="0.25">
      <c r="A48" s="1"/>
      <c r="B48" s="195"/>
      <c r="C48" s="177"/>
      <c r="D48" s="189"/>
      <c r="E48" s="189"/>
      <c r="F48" s="189"/>
      <c r="G48" s="189"/>
      <c r="H48" s="189"/>
      <c r="I48" s="189"/>
      <c r="J48" s="189"/>
      <c r="K48" s="190"/>
      <c r="L48" s="189"/>
      <c r="M48" s="189"/>
      <c r="N48" s="189"/>
      <c r="O48" s="189"/>
      <c r="P48" s="189"/>
      <c r="Q48" s="190"/>
      <c r="R48" s="190"/>
      <c r="S48" s="190"/>
      <c r="T48" s="190"/>
      <c r="U48" s="190"/>
      <c r="V48" s="190"/>
      <c r="W48" s="190"/>
      <c r="X48" s="6"/>
      <c r="Y48" s="6"/>
      <c r="Z48" s="6"/>
      <c r="AA48" s="6"/>
      <c r="AB48" s="1"/>
      <c r="AC48" s="1"/>
      <c r="AD48" s="1"/>
      <c r="AE48" s="1"/>
      <c r="AF48" s="1"/>
    </row>
    <row r="49" spans="1:32" x14ac:dyDescent="0.25">
      <c r="A49" s="1"/>
      <c r="B49" s="195"/>
      <c r="C49" s="199" t="s">
        <v>85</v>
      </c>
      <c r="D49" s="200" t="s">
        <v>86</v>
      </c>
      <c r="E49" s="200" t="s">
        <v>87</v>
      </c>
      <c r="F49" s="200" t="s">
        <v>88</v>
      </c>
      <c r="G49" s="200" t="s">
        <v>89</v>
      </c>
      <c r="H49" s="189"/>
      <c r="I49" s="189"/>
      <c r="J49" s="189"/>
      <c r="K49" s="6"/>
      <c r="L49" s="200" t="s">
        <v>86</v>
      </c>
      <c r="M49" s="200" t="s">
        <v>87</v>
      </c>
      <c r="N49" s="200" t="s">
        <v>88</v>
      </c>
      <c r="O49" s="200" t="s">
        <v>90</v>
      </c>
      <c r="P49" s="6"/>
      <c r="Q49" s="6"/>
      <c r="R49" s="200" t="s">
        <v>86</v>
      </c>
      <c r="S49" s="200" t="s">
        <v>87</v>
      </c>
      <c r="T49" s="200" t="s">
        <v>88</v>
      </c>
      <c r="U49" s="200" t="s">
        <v>91</v>
      </c>
      <c r="V49" s="6"/>
      <c r="W49" s="6"/>
      <c r="X49" s="200" t="s">
        <v>92</v>
      </c>
      <c r="Y49" s="200" t="s">
        <v>87</v>
      </c>
      <c r="Z49" s="200" t="s">
        <v>88</v>
      </c>
      <c r="AA49" s="200" t="s">
        <v>90</v>
      </c>
      <c r="AB49" s="1"/>
      <c r="AC49" s="1"/>
      <c r="AD49" s="1"/>
      <c r="AE49" s="1"/>
      <c r="AF49" s="1"/>
    </row>
    <row r="50" spans="1:32" x14ac:dyDescent="0.25">
      <c r="A50" s="1"/>
      <c r="B50" s="195"/>
      <c r="C50" s="201" t="s">
        <v>93</v>
      </c>
      <c r="D50" s="202">
        <f>SUM(D51:D54)</f>
        <v>3315.9300000000003</v>
      </c>
      <c r="E50" s="202">
        <f t="shared" ref="E50:F50" si="25">SUM(E51:E54)</f>
        <v>2048.4</v>
      </c>
      <c r="F50" s="202">
        <f t="shared" si="25"/>
        <v>2235.1</v>
      </c>
      <c r="G50" s="203">
        <f>D50+E50-F50</f>
        <v>3129.23</v>
      </c>
      <c r="H50" s="189"/>
      <c r="I50" s="189"/>
      <c r="J50" s="189"/>
      <c r="K50" s="6"/>
      <c r="L50" s="202">
        <f>SUM(L51:L54)</f>
        <v>2410.1999999999998</v>
      </c>
      <c r="M50" s="202">
        <f t="shared" ref="M50:O50" si="26">SUM(M51:M54)</f>
        <v>1760.4</v>
      </c>
      <c r="N50" s="202">
        <f t="shared" si="26"/>
        <v>1304.5</v>
      </c>
      <c r="O50" s="202">
        <f t="shared" si="26"/>
        <v>2866.1</v>
      </c>
      <c r="P50" s="6"/>
      <c r="Q50" s="6"/>
      <c r="R50" s="202">
        <f>SUM(R51:R54)</f>
        <v>3129.2999999999997</v>
      </c>
      <c r="S50" s="202">
        <f t="shared" ref="S50:T50" si="27">SUM(S51:S54)</f>
        <v>1362.7</v>
      </c>
      <c r="T50" s="202">
        <f t="shared" si="27"/>
        <v>1391.7</v>
      </c>
      <c r="U50" s="203">
        <f>R50+S50-T50</f>
        <v>3100.3</v>
      </c>
      <c r="V50" s="6"/>
      <c r="W50" s="6"/>
      <c r="X50" s="202">
        <f>SUM(X51:X54)</f>
        <v>2532.4</v>
      </c>
      <c r="Y50" s="202">
        <f t="shared" ref="Y50:Z50" si="28">SUM(Y51:Y54)</f>
        <v>1798.7</v>
      </c>
      <c r="Z50" s="202">
        <f t="shared" si="28"/>
        <v>1247.0999999999999</v>
      </c>
      <c r="AA50" s="203">
        <f>X50+Y50-Z50</f>
        <v>3084.0000000000005</v>
      </c>
      <c r="AB50" s="1"/>
      <c r="AC50" s="1"/>
      <c r="AD50" s="1"/>
      <c r="AE50" s="1"/>
      <c r="AF50" s="1"/>
    </row>
    <row r="51" spans="1:32" x14ac:dyDescent="0.25">
      <c r="A51" s="1"/>
      <c r="B51" s="195"/>
      <c r="C51" s="201" t="s">
        <v>94</v>
      </c>
      <c r="D51" s="202">
        <v>2089.33</v>
      </c>
      <c r="E51" s="202">
        <f>155.6+321.5</f>
        <v>477.1</v>
      </c>
      <c r="F51" s="202">
        <v>1061.4000000000001</v>
      </c>
      <c r="G51" s="203">
        <f t="shared" ref="G51:G54" si="29">D51+E51-F51</f>
        <v>1505.0299999999997</v>
      </c>
      <c r="H51" s="189"/>
      <c r="I51" s="189"/>
      <c r="J51" s="189"/>
      <c r="K51" s="6"/>
      <c r="L51" s="202">
        <v>887.1</v>
      </c>
      <c r="M51" s="202">
        <v>217</v>
      </c>
      <c r="N51" s="202">
        <v>90</v>
      </c>
      <c r="O51" s="203">
        <f t="shared" ref="O51:O54" si="30">L51+M51-N51</f>
        <v>1014.0999999999999</v>
      </c>
      <c r="P51" s="6"/>
      <c r="Q51" s="6"/>
      <c r="R51" s="202">
        <v>1505.1</v>
      </c>
      <c r="S51" s="202">
        <v>159.5</v>
      </c>
      <c r="T51" s="202">
        <v>331</v>
      </c>
      <c r="U51" s="203">
        <f t="shared" ref="U51:U54" si="31">R51+S51-T51</f>
        <v>1333.6</v>
      </c>
      <c r="V51" s="6"/>
      <c r="W51" s="6"/>
      <c r="X51" s="202">
        <v>1130</v>
      </c>
      <c r="Y51" s="202">
        <v>170</v>
      </c>
      <c r="Z51" s="202">
        <v>100</v>
      </c>
      <c r="AA51" s="203">
        <f>X51+Y51-Z51</f>
        <v>1200</v>
      </c>
      <c r="AB51" s="1"/>
      <c r="AC51" s="1"/>
      <c r="AD51" s="1"/>
      <c r="AE51" s="1"/>
      <c r="AF51" s="1"/>
    </row>
    <row r="52" spans="1:32" x14ac:dyDescent="0.25">
      <c r="A52" s="1"/>
      <c r="B52" s="195"/>
      <c r="C52" s="201" t="s">
        <v>95</v>
      </c>
      <c r="D52" s="202">
        <v>387.8</v>
      </c>
      <c r="E52" s="202">
        <v>902.6</v>
      </c>
      <c r="F52" s="202">
        <v>638.6</v>
      </c>
      <c r="G52" s="203">
        <f t="shared" si="29"/>
        <v>651.80000000000007</v>
      </c>
      <c r="H52" s="189"/>
      <c r="I52" s="189"/>
      <c r="J52" s="189"/>
      <c r="K52" s="6"/>
      <c r="L52" s="202">
        <v>521.29999999999995</v>
      </c>
      <c r="M52" s="202">
        <v>910</v>
      </c>
      <c r="N52" s="202">
        <v>637.5</v>
      </c>
      <c r="O52" s="203">
        <f t="shared" si="30"/>
        <v>793.8</v>
      </c>
      <c r="P52" s="6"/>
      <c r="Q52" s="6"/>
      <c r="R52" s="202">
        <v>651.79999999999995</v>
      </c>
      <c r="S52" s="202">
        <v>901</v>
      </c>
      <c r="T52" s="202">
        <v>642</v>
      </c>
      <c r="U52" s="203">
        <f t="shared" si="31"/>
        <v>910.8</v>
      </c>
      <c r="V52" s="6"/>
      <c r="W52" s="6"/>
      <c r="X52" s="202">
        <v>260</v>
      </c>
      <c r="Y52" s="202">
        <v>980</v>
      </c>
      <c r="Z52" s="202">
        <v>642.1</v>
      </c>
      <c r="AA52" s="203">
        <f t="shared" ref="AA52:AA54" si="32">X52+Y52-Z52</f>
        <v>597.9</v>
      </c>
      <c r="AB52" s="1"/>
      <c r="AC52" s="1"/>
      <c r="AD52" s="1"/>
      <c r="AE52" s="1"/>
      <c r="AF52" s="1"/>
    </row>
    <row r="53" spans="1:32" x14ac:dyDescent="0.25">
      <c r="A53" s="1"/>
      <c r="B53" s="195"/>
      <c r="C53" s="201" t="s">
        <v>96</v>
      </c>
      <c r="D53" s="202">
        <v>134.30000000000001</v>
      </c>
      <c r="E53" s="202">
        <v>38.9</v>
      </c>
      <c r="F53" s="202">
        <v>0.8</v>
      </c>
      <c r="G53" s="203">
        <f t="shared" si="29"/>
        <v>172.4</v>
      </c>
      <c r="H53" s="189"/>
      <c r="I53" s="189"/>
      <c r="J53" s="189"/>
      <c r="K53" s="6"/>
      <c r="L53" s="202">
        <v>136.30000000000001</v>
      </c>
      <c r="M53" s="202">
        <v>11</v>
      </c>
      <c r="N53" s="202">
        <v>7</v>
      </c>
      <c r="O53" s="203">
        <f t="shared" si="30"/>
        <v>140.30000000000001</v>
      </c>
      <c r="P53" s="6"/>
      <c r="Q53" s="6"/>
      <c r="R53" s="202">
        <v>172.4</v>
      </c>
      <c r="S53" s="202">
        <v>5</v>
      </c>
      <c r="T53" s="202">
        <v>0</v>
      </c>
      <c r="U53" s="203">
        <f t="shared" si="31"/>
        <v>177.4</v>
      </c>
      <c r="V53" s="6"/>
      <c r="W53" s="6"/>
      <c r="X53" s="202">
        <v>172.4</v>
      </c>
      <c r="Y53" s="202">
        <v>7</v>
      </c>
      <c r="Z53" s="202">
        <v>5</v>
      </c>
      <c r="AA53" s="203">
        <f t="shared" si="32"/>
        <v>174.4</v>
      </c>
      <c r="AB53" s="1"/>
      <c r="AC53" s="1"/>
      <c r="AD53" s="1"/>
      <c r="AE53" s="1"/>
      <c r="AF53" s="1"/>
    </row>
    <row r="54" spans="1:32" x14ac:dyDescent="0.25">
      <c r="A54" s="1"/>
      <c r="B54" s="195"/>
      <c r="C54" s="204" t="s">
        <v>97</v>
      </c>
      <c r="D54" s="202">
        <v>704.5</v>
      </c>
      <c r="E54" s="202">
        <v>629.79999999999995</v>
      </c>
      <c r="F54" s="202">
        <v>534.29999999999995</v>
      </c>
      <c r="G54" s="203">
        <f t="shared" si="29"/>
        <v>800</v>
      </c>
      <c r="H54" s="189"/>
      <c r="I54" s="189"/>
      <c r="J54" s="189"/>
      <c r="K54" s="6"/>
      <c r="L54" s="202">
        <v>865.5</v>
      </c>
      <c r="M54" s="202">
        <v>622.4</v>
      </c>
      <c r="N54" s="202">
        <v>570</v>
      </c>
      <c r="O54" s="203">
        <f t="shared" si="30"/>
        <v>917.90000000000009</v>
      </c>
      <c r="P54" s="6"/>
      <c r="Q54" s="6"/>
      <c r="R54" s="202">
        <v>800</v>
      </c>
      <c r="S54" s="202">
        <v>297.2</v>
      </c>
      <c r="T54" s="202">
        <v>418.7</v>
      </c>
      <c r="U54" s="203">
        <f t="shared" si="31"/>
        <v>678.5</v>
      </c>
      <c r="V54" s="6"/>
      <c r="W54" s="6"/>
      <c r="X54" s="202">
        <v>970</v>
      </c>
      <c r="Y54" s="202">
        <f>626.7+15</f>
        <v>641.70000000000005</v>
      </c>
      <c r="Z54" s="202">
        <v>500</v>
      </c>
      <c r="AA54" s="203">
        <f t="shared" si="32"/>
        <v>1111.7</v>
      </c>
      <c r="AB54" s="1"/>
      <c r="AC54" s="1"/>
      <c r="AD54" s="1"/>
      <c r="AE54" s="1"/>
      <c r="AF54" s="1"/>
    </row>
    <row r="55" spans="1:32" ht="10.5" customHeight="1" x14ac:dyDescent="0.25">
      <c r="A55" s="1"/>
      <c r="B55" s="195"/>
      <c r="C55" s="177"/>
      <c r="D55" s="189"/>
      <c r="E55" s="189"/>
      <c r="F55" s="189"/>
      <c r="G55" s="189"/>
      <c r="H55" s="189"/>
      <c r="I55" s="189"/>
      <c r="J55" s="189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1"/>
      <c r="AC55" s="1"/>
      <c r="AD55" s="1"/>
      <c r="AE55" s="1"/>
      <c r="AF55" s="1"/>
    </row>
    <row r="56" spans="1:32" x14ac:dyDescent="0.25">
      <c r="A56" s="1"/>
      <c r="B56" s="195"/>
      <c r="C56" s="199" t="s">
        <v>98</v>
      </c>
      <c r="D56" s="200" t="s">
        <v>99</v>
      </c>
      <c r="E56" s="200" t="s">
        <v>100</v>
      </c>
      <c r="F56" s="189"/>
      <c r="G56" s="189"/>
      <c r="H56" s="189"/>
      <c r="I56" s="189"/>
      <c r="J56" s="189"/>
      <c r="K56" s="190"/>
      <c r="L56" s="200" t="s">
        <v>101</v>
      </c>
      <c r="M56" s="189"/>
      <c r="N56" s="189"/>
      <c r="O56" s="189"/>
      <c r="P56" s="189"/>
      <c r="Q56" s="190"/>
      <c r="R56" s="200" t="s">
        <v>102</v>
      </c>
      <c r="S56" s="190"/>
      <c r="T56" s="190"/>
      <c r="U56" s="190"/>
      <c r="V56" s="190"/>
      <c r="W56" s="190"/>
      <c r="X56" s="200" t="s">
        <v>101</v>
      </c>
      <c r="Y56" s="6"/>
      <c r="Z56" s="6"/>
      <c r="AA56" s="6"/>
      <c r="AB56" s="1"/>
      <c r="AC56" s="1"/>
      <c r="AD56" s="1"/>
      <c r="AE56" s="1"/>
      <c r="AF56" s="1"/>
    </row>
    <row r="57" spans="1:32" x14ac:dyDescent="0.25">
      <c r="A57" s="1"/>
      <c r="B57" s="195"/>
      <c r="C57" s="201"/>
      <c r="D57" s="205">
        <v>70.400000000000006</v>
      </c>
      <c r="E57" s="205">
        <v>63.8</v>
      </c>
      <c r="F57" s="189"/>
      <c r="G57" s="189"/>
      <c r="H57" s="189"/>
      <c r="I57" s="189"/>
      <c r="J57" s="189"/>
      <c r="K57" s="190"/>
      <c r="L57" s="205">
        <v>70.3</v>
      </c>
      <c r="M57" s="189"/>
      <c r="N57" s="189"/>
      <c r="O57" s="189"/>
      <c r="P57" s="189"/>
      <c r="Q57" s="190"/>
      <c r="R57" s="205">
        <v>63.9</v>
      </c>
      <c r="S57" s="190"/>
      <c r="T57" s="190"/>
      <c r="U57" s="190"/>
      <c r="V57" s="190"/>
      <c r="W57" s="190"/>
      <c r="X57" s="205">
        <v>63.9</v>
      </c>
      <c r="Y57" s="6"/>
      <c r="Z57" s="6"/>
      <c r="AA57" s="6"/>
      <c r="AB57" s="1"/>
      <c r="AC57" s="1"/>
      <c r="AD57" s="1"/>
      <c r="AE57" s="1"/>
      <c r="AF57" s="1"/>
    </row>
    <row r="58" spans="1:32" x14ac:dyDescent="0.25">
      <c r="A58" s="1"/>
      <c r="B58" s="195"/>
      <c r="C58" s="177"/>
      <c r="D58" s="179"/>
      <c r="E58" s="179"/>
      <c r="F58" s="179"/>
      <c r="G58" s="179"/>
      <c r="H58" s="179"/>
      <c r="I58" s="179"/>
      <c r="J58" s="179"/>
      <c r="K58" s="184"/>
      <c r="L58" s="179"/>
      <c r="M58" s="179"/>
      <c r="N58" s="179"/>
      <c r="O58" s="179"/>
      <c r="P58" s="179"/>
      <c r="Q58" s="184"/>
      <c r="R58" s="184"/>
      <c r="S58" s="184"/>
      <c r="T58" s="184"/>
      <c r="U58" s="184"/>
      <c r="V58" s="184"/>
      <c r="W58" s="184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1"/>
      <c r="B59" s="206" t="s">
        <v>103</v>
      </c>
      <c r="C59" s="207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9"/>
      <c r="Y59" s="209"/>
      <c r="Z59" s="209"/>
      <c r="AA59" s="209"/>
      <c r="AB59" s="209"/>
      <c r="AC59" s="209"/>
      <c r="AD59" s="210"/>
      <c r="AE59" s="1"/>
      <c r="AF59" s="1"/>
    </row>
    <row r="60" spans="1:32" x14ac:dyDescent="0.25">
      <c r="A60" s="1"/>
      <c r="B60" s="211" t="s">
        <v>104</v>
      </c>
      <c r="O60"/>
      <c r="AD60" s="212"/>
      <c r="AE60" s="1"/>
      <c r="AF60" s="1"/>
    </row>
    <row r="61" spans="1:32" x14ac:dyDescent="0.25">
      <c r="A61" s="1"/>
      <c r="B61" s="213" t="s">
        <v>105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AD61" s="212"/>
      <c r="AE61" s="1"/>
      <c r="AF61" s="1"/>
    </row>
    <row r="62" spans="1:32" x14ac:dyDescent="0.25">
      <c r="A62" s="1"/>
      <c r="B62" s="214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AD62" s="212"/>
      <c r="AE62" s="1"/>
      <c r="AF62" s="1"/>
    </row>
    <row r="63" spans="1:32" x14ac:dyDescent="0.25">
      <c r="A63" s="1"/>
      <c r="B63" s="214" t="s">
        <v>106</v>
      </c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AD63" s="212"/>
      <c r="AE63" s="1"/>
      <c r="AF63" s="1"/>
    </row>
    <row r="64" spans="1:32" x14ac:dyDescent="0.25">
      <c r="A64" s="1"/>
      <c r="B64" s="216" t="s">
        <v>107</v>
      </c>
      <c r="C64" s="217"/>
      <c r="D64" s="217"/>
      <c r="E64" s="21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AD64" s="212"/>
      <c r="AE64" s="1"/>
      <c r="AF64" s="1"/>
    </row>
    <row r="65" spans="1:32" x14ac:dyDescent="0.25">
      <c r="A65" s="1"/>
      <c r="B65" s="218"/>
      <c r="C65" s="217"/>
      <c r="D65" s="217"/>
      <c r="E65" s="21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AD65" s="212"/>
      <c r="AE65" s="1"/>
      <c r="AF65" s="1"/>
    </row>
    <row r="66" spans="1:32" x14ac:dyDescent="0.25">
      <c r="A66" s="1"/>
      <c r="B66" s="216" t="s">
        <v>108</v>
      </c>
      <c r="C66" s="217"/>
      <c r="D66" s="217"/>
      <c r="E66" s="21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AD66" s="212"/>
      <c r="AE66" s="1"/>
      <c r="AF66" s="1"/>
    </row>
    <row r="67" spans="1:32" x14ac:dyDescent="0.25">
      <c r="A67" s="1"/>
      <c r="B67" s="216"/>
      <c r="C67" s="217"/>
      <c r="D67" s="217"/>
      <c r="E67" s="21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AD67" s="212"/>
      <c r="AE67" s="1"/>
      <c r="AF67" s="1"/>
    </row>
    <row r="68" spans="1:32" x14ac:dyDescent="0.25">
      <c r="A68" s="1"/>
      <c r="B68" s="219" t="s">
        <v>109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AD68" s="212"/>
      <c r="AE68" s="1"/>
      <c r="AF68" s="1"/>
    </row>
    <row r="69" spans="1:32" x14ac:dyDescent="0.25">
      <c r="A69" s="1"/>
      <c r="B69" s="220" t="s">
        <v>110</v>
      </c>
      <c r="C69" s="22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AD69" s="212"/>
      <c r="AE69" s="1"/>
      <c r="AF69" s="1"/>
    </row>
    <row r="70" spans="1:32" x14ac:dyDescent="0.25">
      <c r="A70" s="1"/>
      <c r="B70" s="220"/>
      <c r="C70" s="22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AD70" s="212"/>
      <c r="AE70" s="1"/>
      <c r="AF70" s="1"/>
    </row>
    <row r="71" spans="1:32" x14ac:dyDescent="0.25">
      <c r="A71" s="1"/>
      <c r="B71" s="220" t="s">
        <v>111</v>
      </c>
      <c r="C71" s="22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AD71" s="212"/>
      <c r="AE71" s="1"/>
      <c r="AF71" s="1"/>
    </row>
    <row r="72" spans="1:32" x14ac:dyDescent="0.25">
      <c r="A72" s="1"/>
      <c r="B72" s="220"/>
      <c r="C72" s="22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AD72" s="212"/>
      <c r="AE72" s="1"/>
      <c r="AF72" s="1"/>
    </row>
    <row r="73" spans="1:32" x14ac:dyDescent="0.25">
      <c r="A73" s="1"/>
      <c r="B73" s="220" t="s">
        <v>112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AD73" s="212"/>
      <c r="AE73" s="1"/>
      <c r="AF73" s="1"/>
    </row>
    <row r="74" spans="1:32" x14ac:dyDescent="0.25">
      <c r="A74" s="1"/>
      <c r="B74" s="219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AD74" s="212"/>
      <c r="AE74" s="1"/>
      <c r="AF74" s="1"/>
    </row>
    <row r="75" spans="1:32" x14ac:dyDescent="0.25">
      <c r="A75" s="1"/>
      <c r="B75" s="219" t="s">
        <v>113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AD75" s="212"/>
      <c r="AE75" s="1"/>
      <c r="AF75" s="1"/>
    </row>
    <row r="76" spans="1:32" x14ac:dyDescent="0.25">
      <c r="A76" s="1"/>
      <c r="B76" s="219" t="s">
        <v>114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AD76" s="212"/>
      <c r="AE76" s="1"/>
      <c r="AF76" s="1"/>
    </row>
    <row r="77" spans="1:32" x14ac:dyDescent="0.25">
      <c r="A77" s="1"/>
      <c r="B77" s="219" t="s">
        <v>115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AD77" s="212"/>
      <c r="AE77" s="1"/>
      <c r="AF77" s="1"/>
    </row>
    <row r="78" spans="1:32" x14ac:dyDescent="0.25">
      <c r="A78" s="1"/>
      <c r="B78" s="219" t="s">
        <v>116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AD78" s="212"/>
      <c r="AE78" s="1"/>
      <c r="AF78" s="1"/>
    </row>
    <row r="79" spans="1:32" x14ac:dyDescent="0.25">
      <c r="A79" s="1"/>
      <c r="B79" s="219"/>
      <c r="C79" s="5" t="s">
        <v>117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AD79" s="212"/>
      <c r="AE79" s="1"/>
      <c r="AF79" s="1"/>
    </row>
    <row r="80" spans="1:32" x14ac:dyDescent="0.25">
      <c r="A80" s="1"/>
      <c r="B80" s="219"/>
      <c r="C80" s="5" t="s">
        <v>118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AD80" s="212"/>
      <c r="AE80" s="1"/>
      <c r="AF80" s="1"/>
    </row>
    <row r="81" spans="1:32" x14ac:dyDescent="0.25">
      <c r="A81" s="1"/>
      <c r="B81" s="219"/>
      <c r="C81" s="5" t="s">
        <v>119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AD81" s="212"/>
      <c r="AE81" s="1"/>
      <c r="AF81" s="1"/>
    </row>
    <row r="82" spans="1:32" x14ac:dyDescent="0.25">
      <c r="A82" s="1"/>
      <c r="B82" s="219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AD82" s="212"/>
      <c r="AE82" s="1"/>
      <c r="AF82" s="1"/>
    </row>
    <row r="83" spans="1:32" x14ac:dyDescent="0.25">
      <c r="A83" s="1"/>
      <c r="B83" s="214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AD83" s="212"/>
      <c r="AE83" s="1"/>
      <c r="AF83" s="1"/>
    </row>
    <row r="84" spans="1:32" x14ac:dyDescent="0.25">
      <c r="A84" s="1"/>
      <c r="B84" s="22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AD84" s="212"/>
      <c r="AE84" s="1"/>
      <c r="AF84" s="1"/>
    </row>
    <row r="85" spans="1:32" x14ac:dyDescent="0.25">
      <c r="A85" s="1"/>
      <c r="B85" s="222"/>
      <c r="C85" s="223"/>
      <c r="D85" s="223"/>
      <c r="E85" s="223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AD85" s="212"/>
      <c r="AE85" s="1"/>
      <c r="AF85" s="1"/>
    </row>
    <row r="86" spans="1:32" x14ac:dyDescent="0.25">
      <c r="A86" s="1"/>
      <c r="B86" s="222"/>
      <c r="C86" s="224"/>
      <c r="D86" s="223"/>
      <c r="E86" s="223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AD86" s="212"/>
      <c r="AE86" s="1"/>
      <c r="AF86" s="1"/>
    </row>
    <row r="87" spans="1:32" x14ac:dyDescent="0.25">
      <c r="A87" s="1"/>
      <c r="B87" s="222"/>
      <c r="C87" s="224"/>
      <c r="D87" s="223"/>
      <c r="E87" s="223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AD87" s="212"/>
      <c r="AE87" s="1"/>
      <c r="AF87" s="1"/>
    </row>
    <row r="88" spans="1:32" x14ac:dyDescent="0.25">
      <c r="A88" s="1"/>
      <c r="B88" s="225"/>
      <c r="C88" s="226"/>
      <c r="D88" s="227"/>
      <c r="E88" s="227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9"/>
      <c r="Y88" s="229"/>
      <c r="Z88" s="229"/>
      <c r="AA88" s="229"/>
      <c r="AB88" s="229"/>
      <c r="AC88" s="229"/>
      <c r="AD88" s="230"/>
      <c r="AE88" s="1"/>
      <c r="AF88" s="1"/>
    </row>
    <row r="89" spans="1:32" x14ac:dyDescent="0.25">
      <c r="A89" s="1"/>
      <c r="B89" s="231"/>
      <c r="C89" s="232"/>
      <c r="D89" s="231"/>
      <c r="E89" s="231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5">
      <c r="A90" s="1"/>
      <c r="B90" s="231"/>
      <c r="C90" s="232"/>
      <c r="D90" s="231"/>
      <c r="E90" s="231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5">
      <c r="A91" s="1"/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5">
      <c r="A92" s="1"/>
      <c r="B92" s="234" t="s">
        <v>120</v>
      </c>
      <c r="C92" s="235">
        <v>44854</v>
      </c>
      <c r="D92" s="234" t="s">
        <v>121</v>
      </c>
      <c r="E92" s="236" t="s">
        <v>122</v>
      </c>
      <c r="F92" s="236"/>
      <c r="G92" s="236"/>
      <c r="H92" s="5"/>
      <c r="I92" s="5"/>
      <c r="J92" s="234"/>
      <c r="K92" s="234" t="s">
        <v>123</v>
      </c>
      <c r="L92" s="237" t="s">
        <v>124</v>
      </c>
      <c r="M92" s="237"/>
      <c r="N92" s="237"/>
      <c r="O92" s="237"/>
      <c r="P92" s="234"/>
      <c r="Q92" s="234"/>
      <c r="R92" s="234"/>
      <c r="S92" s="234"/>
      <c r="T92" s="234"/>
      <c r="U92" s="234"/>
      <c r="V92" s="234"/>
      <c r="W92" s="234"/>
      <c r="X92" s="1"/>
      <c r="Y92" s="1"/>
      <c r="Z92" s="1"/>
      <c r="AA92" s="1"/>
      <c r="AB92" s="1"/>
      <c r="AC92" s="1"/>
      <c r="AD92" s="1"/>
      <c r="AE92" s="1"/>
      <c r="AF92" s="1"/>
    </row>
    <row r="93" spans="1:32" ht="7.5" customHeight="1" x14ac:dyDescent="0.25">
      <c r="A93" s="1"/>
      <c r="B93" s="234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5">
      <c r="A94" s="1"/>
      <c r="B94" s="234"/>
      <c r="C94" s="234"/>
      <c r="D94" s="234" t="s">
        <v>125</v>
      </c>
      <c r="E94" s="238"/>
      <c r="F94" s="238"/>
      <c r="G94" s="238"/>
      <c r="H94" s="238"/>
      <c r="I94" s="238"/>
      <c r="J94" s="234"/>
      <c r="K94" s="234" t="s">
        <v>125</v>
      </c>
      <c r="L94" s="239"/>
      <c r="M94" s="239"/>
      <c r="N94" s="239"/>
      <c r="O94" s="239"/>
      <c r="P94" s="234"/>
      <c r="Q94" s="234"/>
      <c r="R94" s="234"/>
      <c r="S94" s="234"/>
      <c r="T94" s="234"/>
      <c r="U94" s="234"/>
      <c r="V94" s="234"/>
      <c r="W94" s="234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5">
      <c r="A95" s="1"/>
      <c r="B95" s="234"/>
      <c r="C95" s="234"/>
      <c r="D95" s="234"/>
      <c r="E95" s="238"/>
      <c r="F95" s="238"/>
      <c r="G95" s="238"/>
      <c r="H95" s="238"/>
      <c r="I95" s="238"/>
      <c r="J95" s="234"/>
      <c r="K95" s="234"/>
      <c r="L95" s="239"/>
      <c r="M95" s="239"/>
      <c r="N95" s="239"/>
      <c r="O95" s="239"/>
      <c r="P95" s="234"/>
      <c r="Q95" s="234"/>
      <c r="R95" s="234"/>
      <c r="S95" s="234"/>
      <c r="T95" s="234"/>
      <c r="U95" s="234"/>
      <c r="V95" s="234"/>
      <c r="W95" s="234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5">
      <c r="A96" s="1"/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5">
      <c r="A97" s="1"/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1"/>
      <c r="Y97" s="1"/>
      <c r="Z97" s="1"/>
      <c r="AA97" s="1"/>
      <c r="AB97" s="1"/>
      <c r="AC97" s="1"/>
      <c r="AD97" s="1"/>
      <c r="AE97" s="1"/>
      <c r="AF97" s="1"/>
    </row>
    <row r="113" x14ac:dyDescent="0.25"/>
    <row r="114" ht="15" hidden="1" customHeight="1" x14ac:dyDescent="0.25"/>
    <row r="128" ht="15" hidden="1" customHeight="1" x14ac:dyDescent="0.25"/>
    <row r="129" ht="15" hidden="1" customHeight="1" x14ac:dyDescent="0.25"/>
  </sheetData>
  <mergeCells count="59">
    <mergeCell ref="E92:G92"/>
    <mergeCell ref="L92:O92"/>
    <mergeCell ref="AA26:AA27"/>
    <mergeCell ref="AB26:AB27"/>
    <mergeCell ref="AC26:AC27"/>
    <mergeCell ref="C43:C44"/>
    <mergeCell ref="C46:C47"/>
    <mergeCell ref="D59:W59"/>
    <mergeCell ref="Q26:Q27"/>
    <mergeCell ref="R26:T26"/>
    <mergeCell ref="U26:U27"/>
    <mergeCell ref="V26:V27"/>
    <mergeCell ref="W26:W27"/>
    <mergeCell ref="X26:Z26"/>
    <mergeCell ref="AD25:AD27"/>
    <mergeCell ref="B26:B27"/>
    <mergeCell ref="C26:C27"/>
    <mergeCell ref="D26:F26"/>
    <mergeCell ref="G26:G27"/>
    <mergeCell ref="J26:J27"/>
    <mergeCell ref="K26:K27"/>
    <mergeCell ref="L26:N26"/>
    <mergeCell ref="O26:O27"/>
    <mergeCell ref="P26:P27"/>
    <mergeCell ref="W13:W14"/>
    <mergeCell ref="X13:Z13"/>
    <mergeCell ref="AA13:AA14"/>
    <mergeCell ref="AB13:AB14"/>
    <mergeCell ref="AC13:AC14"/>
    <mergeCell ref="D25:K25"/>
    <mergeCell ref="L25:Q25"/>
    <mergeCell ref="R25:W25"/>
    <mergeCell ref="X25:AC25"/>
    <mergeCell ref="O13:O14"/>
    <mergeCell ref="P13:P14"/>
    <mergeCell ref="Q13:Q14"/>
    <mergeCell ref="R13:T13"/>
    <mergeCell ref="U13:U14"/>
    <mergeCell ref="V13:V14"/>
    <mergeCell ref="AD10:AD14"/>
    <mergeCell ref="D11:G11"/>
    <mergeCell ref="L11:O11"/>
    <mergeCell ref="R11:U11"/>
    <mergeCell ref="X11:AA11"/>
    <mergeCell ref="D12:K12"/>
    <mergeCell ref="L12:Q12"/>
    <mergeCell ref="R12:W12"/>
    <mergeCell ref="X12:AC12"/>
    <mergeCell ref="D13:F13"/>
    <mergeCell ref="B10:B13"/>
    <mergeCell ref="C10:C13"/>
    <mergeCell ref="D10:K10"/>
    <mergeCell ref="L10:Q10"/>
    <mergeCell ref="R10:W10"/>
    <mergeCell ref="X10:AC10"/>
    <mergeCell ref="G13:G14"/>
    <mergeCell ref="J13:J14"/>
    <mergeCell ref="K13:K14"/>
    <mergeCell ref="L13:N13"/>
  </mergeCells>
  <conditionalFormatting sqref="AD15:AD25">
    <cfRule type="cellIs" dxfId="3" priority="3" operator="equal">
      <formula>0</formula>
    </cfRule>
    <cfRule type="containsErrors" dxfId="2" priority="4">
      <formula>ISERROR(AD15)</formula>
    </cfRule>
  </conditionalFormatting>
  <conditionalFormatting sqref="AD28:AD41">
    <cfRule type="cellIs" dxfId="1" priority="1" operator="equal">
      <formula>0</formula>
    </cfRule>
    <cfRule type="containsErrors" dxfId="0" priority="2">
      <formula>ISERROR(AD28)</formula>
    </cfRule>
  </conditionalFormatting>
  <pageMargins left="0.25" right="0.25" top="0.75" bottom="0.75" header="0.3" footer="0.3"/>
  <pageSetup paperSize="8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Březen.</vt:lpstr>
      <vt:lpstr>'ZŠ Březen.'!Oblast_tisku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2022-12-19T09:54:20Z</dcterms:created>
  <dcterms:modified xsi:type="dcterms:W3CDTF">2022-12-19T09:54:20Z</dcterms:modified>
</cp:coreProperties>
</file>