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8_{2C693223-CEC7-4D95-9F0F-EEE3F8172F35}" xr6:coauthVersionLast="36" xr6:coauthVersionMax="36" xr10:uidLastSave="{00000000-0000-0000-0000-000000000000}"/>
  <bookViews>
    <workbookView xWindow="0" yWindow="0" windowWidth="28800" windowHeight="11928" xr2:uid="{00000000-000D-0000-FFFF-FFFF00000000}"/>
  </bookViews>
  <sheets>
    <sheet name="NR 2024" sheetId="3" r:id="rId1"/>
  </sheets>
  <definedNames>
    <definedName name="_xlnm.Print_Area" localSheetId="0">'NR 2024'!$A$1:$AC$96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X31" i="3"/>
  <c r="X29" i="3"/>
  <c r="T32" i="3"/>
  <c r="T24" i="3"/>
  <c r="R32" i="3"/>
  <c r="N32" i="3"/>
  <c r="M32" i="3"/>
  <c r="L32" i="3"/>
  <c r="L39" i="3" s="1"/>
  <c r="K32" i="3"/>
  <c r="K39" i="3" s="1"/>
  <c r="L24" i="3"/>
  <c r="H24" i="3"/>
  <c r="M30" i="3"/>
  <c r="O30" i="3" s="1"/>
  <c r="J39" i="3"/>
  <c r="R21" i="3"/>
  <c r="E38" i="3"/>
  <c r="F38" i="3"/>
  <c r="D38" i="3"/>
  <c r="F29" i="3"/>
  <c r="D29" i="3"/>
  <c r="F31" i="3"/>
  <c r="D31" i="3"/>
  <c r="E35" i="3"/>
  <c r="D35" i="3"/>
  <c r="M39" i="3" l="1"/>
  <c r="W31" i="3"/>
  <c r="W29" i="3"/>
  <c r="W38" i="3"/>
  <c r="W35" i="3"/>
  <c r="W33" i="3"/>
  <c r="W34" i="3"/>
  <c r="W18" i="3"/>
  <c r="D44" i="3" l="1"/>
  <c r="X50" i="3"/>
  <c r="V50" i="3"/>
  <c r="W51" i="3"/>
  <c r="W50" i="3" s="1"/>
  <c r="V44" i="3"/>
  <c r="W32" i="3"/>
  <c r="W39" i="3" s="1"/>
  <c r="Q38" i="3" l="1"/>
  <c r="P31" i="3"/>
  <c r="P32" i="3"/>
  <c r="Q18" i="3"/>
  <c r="P38" i="3"/>
  <c r="S38" i="3" s="1"/>
  <c r="R29" i="3"/>
  <c r="P44" i="3"/>
  <c r="Q50" i="3"/>
  <c r="R50" i="3"/>
  <c r="P50" i="3"/>
  <c r="Q29" i="3" l="1"/>
  <c r="P29" i="3"/>
  <c r="Q31" i="3" l="1"/>
  <c r="R31" i="3"/>
  <c r="P30" i="3"/>
  <c r="Q34" i="3"/>
  <c r="Q33" i="3"/>
  <c r="Q32" i="3" s="1"/>
  <c r="E31" i="3" l="1"/>
  <c r="G54" i="3" l="1"/>
  <c r="E50" i="3"/>
  <c r="F50" i="3"/>
  <c r="D50" i="3"/>
  <c r="G52" i="3"/>
  <c r="E33" i="3"/>
  <c r="E34" i="3"/>
  <c r="D33" i="3"/>
  <c r="D32" i="3" s="1"/>
  <c r="F32" i="3"/>
  <c r="H32" i="3"/>
  <c r="D30" i="3"/>
  <c r="E29" i="3"/>
  <c r="E18" i="3"/>
  <c r="F21" i="3"/>
  <c r="E32" i="3" l="1"/>
  <c r="M34" i="3" l="1"/>
  <c r="O34" i="3" s="1"/>
  <c r="Z24" i="3" l="1"/>
  <c r="X24" i="3"/>
  <c r="W24" i="3"/>
  <c r="V24" i="3"/>
  <c r="R24" i="3"/>
  <c r="Q24" i="3"/>
  <c r="P24" i="3"/>
  <c r="N24" i="3"/>
  <c r="K24" i="3"/>
  <c r="J24" i="3"/>
  <c r="F24" i="3"/>
  <c r="E24" i="3"/>
  <c r="D24" i="3"/>
  <c r="G24" i="3" l="1"/>
  <c r="S24" i="3"/>
  <c r="Y24" i="3"/>
  <c r="M24" i="3"/>
  <c r="Y54" i="3"/>
  <c r="Y53" i="3"/>
  <c r="Y52" i="3"/>
  <c r="Y51" i="3"/>
  <c r="Y50" i="3" s="1"/>
  <c r="S54" i="3"/>
  <c r="S53" i="3"/>
  <c r="S52" i="3"/>
  <c r="S51" i="3"/>
  <c r="G53" i="3"/>
  <c r="M53" i="3" s="1"/>
  <c r="M54" i="3"/>
  <c r="Z39" i="3"/>
  <c r="X39" i="3"/>
  <c r="W40" i="3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U38" i="3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S39" i="3" l="1"/>
  <c r="S40" i="3" s="1"/>
  <c r="U39" i="3"/>
  <c r="S50" i="3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Q40" i="3"/>
  <c r="P40" i="3"/>
  <c r="G28" i="3"/>
  <c r="G15" i="3"/>
  <c r="AA39" i="3" l="1"/>
  <c r="AA24" i="3"/>
  <c r="Y40" i="3"/>
  <c r="U40" i="3"/>
  <c r="G38" i="3"/>
  <c r="AA40" i="3" l="1"/>
  <c r="AA41" i="3" s="1"/>
  <c r="U41" i="3"/>
  <c r="G18" i="3"/>
  <c r="G51" i="3" l="1"/>
  <c r="M52" i="3"/>
  <c r="M51" i="3" l="1"/>
  <c r="G50" i="3"/>
  <c r="M50" i="3"/>
  <c r="N39" i="3"/>
  <c r="M38" i="3"/>
  <c r="O38" i="3" s="1"/>
  <c r="M37" i="3"/>
  <c r="M36" i="3"/>
  <c r="M35" i="3"/>
  <c r="O35" i="3" s="1"/>
  <c r="AB34" i="3"/>
  <c r="M33" i="3"/>
  <c r="O33" i="3" s="1"/>
  <c r="O32" i="3"/>
  <c r="M31" i="3"/>
  <c r="O31" i="3" s="1"/>
  <c r="M29" i="3"/>
  <c r="O29" i="3" s="1"/>
  <c r="M28" i="3"/>
  <c r="O28" i="3" s="1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36" i="3" l="1"/>
  <c r="G32" i="3"/>
  <c r="O20" i="3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I21" i="3"/>
  <c r="I17" i="3"/>
  <c r="I34" i="3"/>
  <c r="I29" i="3"/>
  <c r="AB38" i="3"/>
  <c r="I16" i="3"/>
  <c r="I37" i="3"/>
  <c r="I33" i="3"/>
  <c r="AB35" i="3"/>
  <c r="I23" i="3"/>
  <c r="I19" i="3"/>
  <c r="I36" i="3"/>
  <c r="AB28" i="3"/>
  <c r="AB32" i="3"/>
  <c r="I22" i="3"/>
  <c r="I30" i="3"/>
  <c r="I35" i="3"/>
  <c r="I31" i="3"/>
  <c r="AB29" i="3"/>
  <c r="AB33" i="3"/>
  <c r="O37" i="3"/>
  <c r="AB37" i="3" s="1"/>
  <c r="K40" i="3"/>
  <c r="E40" i="3"/>
  <c r="N40" i="3"/>
  <c r="J40" i="3"/>
  <c r="AB36" i="3"/>
  <c r="L40" i="3"/>
  <c r="H40" i="3"/>
  <c r="D39" i="3"/>
  <c r="F40" i="3"/>
  <c r="O39" i="3" l="1"/>
  <c r="AB19" i="3"/>
  <c r="O24" i="3"/>
  <c r="AB24" i="3" s="1"/>
  <c r="AB31" i="3"/>
  <c r="I32" i="3"/>
  <c r="I39" i="3" s="1"/>
  <c r="I24" i="3"/>
  <c r="AB30" i="3"/>
  <c r="D40" i="3"/>
  <c r="G39" i="3"/>
  <c r="G40" i="3" s="1"/>
  <c r="M40" i="3"/>
  <c r="O40" i="3" l="1"/>
  <c r="I40" i="3"/>
  <c r="I41" i="3" s="1"/>
  <c r="AB39" i="3"/>
  <c r="AB40" i="3" l="1"/>
  <c r="O41" i="3" l="1"/>
  <c r="AB41" i="3" s="1"/>
</calcChain>
</file>

<file path=xl/sharedStrings.xml><?xml version="1.0" encoding="utf-8"?>
<sst xmlns="http://schemas.openxmlformats.org/spreadsheetml/2006/main" count="198" uniqueCount="109">
  <si>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</si>
  <si>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</si>
  <si>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</si>
  <si>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</si>
  <si>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</si>
  <si>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</si>
  <si>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</si>
  <si>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</si>
  <si>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</si>
  <si>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</si>
  <si>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</si>
  <si>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</si>
  <si>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</si>
  <si>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</si>
  <si>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</si>
  <si>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</si>
  <si>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</si>
  <si>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</si>
  <si>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</si>
  <si>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</si>
  <si>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</si>
  <si>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</si>
  <si>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</si>
  <si>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</si>
  <si>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</si>
  <si>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</si>
  <si>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</si>
  <si>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</si>
  <si>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</si>
  <si>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</si>
  <si>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</si>
  <si>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</si>
  <si>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</si>
  <si>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</si>
  <si>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</si>
  <si>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</si>
  <si>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</si>
  <si>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</si>
  <si>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</si>
  <si>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</si>
  <si>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</si>
  <si>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</si>
  <si>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</si>
  <si>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</si>
  <si>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</si>
  <si>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</si>
  <si>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</si>
  <si>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</si>
  <si>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</si>
  <si>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</si>
  <si>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</si>
  <si>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</si>
  <si>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</si>
  <si>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</si>
  <si>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</si>
  <si>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</si>
  <si>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</si>
  <si>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</si>
  <si>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</si>
  <si>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</si>
  <si>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</si>
  <si>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</si>
  <si>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</si>
  <si>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</si>
  <si>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</si>
  <si>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</si>
  <si>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</si>
  <si>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</si>
  <si>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</si>
  <si>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</si>
  <si>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</si>
  <si>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</si>
  <si>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</si>
  <si>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</si>
  <si>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</si>
  <si>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</si>
  <si>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</si>
  <si>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</si>
  <si>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</si>
  <si>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</si>
  <si>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</si>
  <si>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</si>
  <si>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</si>
  <si>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</si>
  <si>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</si>
  <si>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</si>
  <si>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</si>
  <si>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</si>
  <si>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</si>
  <si>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</si>
  <si>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</si>
  <si>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</si>
  <si>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</si>
  <si>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</si>
  <si>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</si>
  <si>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</si>
  <si>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</si>
  <si>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</si>
  <si>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</si>
  <si>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</si>
  <si>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</si>
  <si>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</si>
  <si>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</si>
  <si>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Základní škola Chomutov, Kadaňská 2334</t>
  </si>
  <si>
    <t>Ostatní náklady (512,513,558,549,569,506,525,527,591)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</si>
  <si>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</si>
  <si>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>Kadaňská 2334, 430 03 Chomutov</t>
  </si>
  <si>
    <t>Bc. Jana Janouškovcová Tesařová</t>
  </si>
  <si>
    <t>Mgr. Ilona Záhálková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</si>
</sst>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02">
    <xf numFmtId="0" fontId="0" fillId="0" borderId="0" xfId="0"/>
    <xf numFmtId="10" fontId="0" fillId="0" borderId="0" xfId="0" applyNumberFormat="1" applyFont="1"/>
    <xf numFmtId="0" fontId="10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6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0" fontId="0" fillId="0" borderId="50" xfId="0" applyFill="1" applyBorder="1" applyProtection="1"/>
    <xf numFmtId="0" fontId="0" fillId="0" borderId="50" xfId="0" applyBorder="1" applyProtection="1"/>
    <xf numFmtId="0" fontId="6" fillId="0" borderId="50" xfId="0" applyFont="1" applyBorder="1" applyProtection="1"/>
    <xf numFmtId="0" fontId="6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0" borderId="31" xfId="0" applyNumberFormat="1" applyFont="1" applyFill="1" applyBorder="1" applyProtection="1">
      <protection locked="0"/>
    </xf>
    <xf numFmtId="164" fontId="11" fillId="14" borderId="34" xfId="0" applyNumberFormat="1" applyFont="1" applyFill="1" applyBorder="1" applyAlignment="1" applyProtection="1">
      <alignment horizontal="center" wrapText="1"/>
      <protection locked="0"/>
    </xf>
    <xf numFmtId="164" fontId="11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2" fillId="0" borderId="38" xfId="0" applyFont="1" applyFill="1" applyBorder="1" applyAlignment="1" applyProtection="1">
      <alignment horizontal="center"/>
    </xf>
    <xf numFmtId="0" fontId="12" fillId="6" borderId="38" xfId="0" applyFont="1" applyFill="1" applyBorder="1" applyAlignment="1" applyProtection="1">
      <alignment horizontal="left"/>
    </xf>
    <xf numFmtId="165" fontId="12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3" fillId="9" borderId="38" xfId="0" applyNumberFormat="1" applyFont="1" applyFill="1" applyBorder="1" applyAlignment="1" applyProtection="1"/>
    <xf numFmtId="165" fontId="13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0" fillId="0" borderId="22" xfId="2" applyFont="1" applyBorder="1" applyProtection="1"/>
    <xf numFmtId="0" fontId="10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6" fillId="5" borderId="50" xfId="0" applyFont="1" applyFill="1" applyBorder="1" applyProtection="1"/>
    <xf numFmtId="0" fontId="6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8" xfId="2" applyFont="1" applyBorder="1" applyProtection="1"/>
    <xf numFmtId="0" fontId="10" fillId="0" borderId="52" xfId="0" applyFont="1" applyFill="1" applyBorder="1"/>
    <xf numFmtId="0" fontId="10" fillId="0" borderId="52" xfId="2" applyFont="1" applyBorder="1" applyProtection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6" fillId="0" borderId="23" xfId="0" applyNumberFormat="1" applyFont="1" applyFill="1" applyBorder="1" applyProtection="1"/>
    <xf numFmtId="10" fontId="6" fillId="0" borderId="14" xfId="0" applyNumberFormat="1" applyFont="1" applyFill="1" applyBorder="1" applyProtection="1"/>
    <xf numFmtId="10" fontId="6" fillId="3" borderId="3" xfId="0" applyNumberFormat="1" applyFont="1" applyFill="1" applyBorder="1" applyProtection="1"/>
    <xf numFmtId="10" fontId="6" fillId="5" borderId="3" xfId="0" applyNumberFormat="1" applyFont="1" applyFill="1" applyBorder="1" applyProtection="1"/>
    <xf numFmtId="10" fontId="14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6" fontId="13" fillId="9" borderId="38" xfId="0" applyNumberFormat="1" applyFont="1" applyFill="1" applyBorder="1" applyAlignment="1" applyProtection="1"/>
    <xf numFmtId="164" fontId="6" fillId="0" borderId="54" xfId="0" applyNumberFormat="1" applyFont="1" applyBorder="1" applyProtection="1">
      <protection locked="0"/>
    </xf>
    <xf numFmtId="164" fontId="6" fillId="0" borderId="57" xfId="0" applyNumberFormat="1" applyFont="1" applyBorder="1" applyProtection="1">
      <protection locked="0"/>
    </xf>
    <xf numFmtId="0" fontId="10" fillId="0" borderId="34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164" fontId="6" fillId="11" borderId="51" xfId="0" applyNumberFormat="1" applyFont="1" applyFill="1" applyBorder="1" applyAlignment="1" applyProtection="1">
      <alignment horizontal="right"/>
    </xf>
    <xf numFmtId="164" fontId="6" fillId="11" borderId="9" xfId="0" applyNumberFormat="1" applyFont="1" applyFill="1" applyBorder="1" applyAlignment="1" applyProtection="1">
      <alignment horizontal="right"/>
    </xf>
    <xf numFmtId="164" fontId="6" fillId="0" borderId="9" xfId="0" applyNumberFormat="1" applyFont="1" applyFill="1" applyBorder="1" applyAlignment="1" applyProtection="1">
      <alignment horizontal="right"/>
      <protection locked="0"/>
    </xf>
    <xf numFmtId="164" fontId="6" fillId="0" borderId="8" xfId="0" applyNumberFormat="1" applyFont="1" applyFill="1" applyBorder="1" applyAlignment="1" applyProtection="1">
      <alignment horizontal="right"/>
      <protection locked="0"/>
    </xf>
    <xf numFmtId="164" fontId="6" fillId="0" borderId="23" xfId="0" applyNumberFormat="1" applyFont="1" applyFill="1" applyBorder="1" applyAlignment="1" applyProtection="1">
      <alignment horizontal="right"/>
      <protection locked="0"/>
    </xf>
    <xf numFmtId="164" fontId="6" fillId="0" borderId="23" xfId="0" applyNumberFormat="1" applyFont="1" applyFill="1" applyBorder="1" applyAlignment="1" applyProtection="1">
      <alignment horizontal="right"/>
    </xf>
    <xf numFmtId="166" fontId="6" fillId="11" borderId="51" xfId="0" applyNumberFormat="1" applyFont="1" applyFill="1" applyBorder="1" applyAlignment="1" applyProtection="1">
      <alignment horizontal="right"/>
    </xf>
    <xf numFmtId="166" fontId="6" fillId="11" borderId="9" xfId="0" applyNumberFormat="1" applyFont="1" applyFill="1" applyBorder="1" applyAlignment="1" applyProtection="1">
      <alignment horizontal="right"/>
    </xf>
    <xf numFmtId="166" fontId="6" fillId="0" borderId="9" xfId="0" applyNumberFormat="1" applyFont="1" applyFill="1" applyBorder="1" applyAlignment="1" applyProtection="1">
      <alignment horizontal="right"/>
      <protection locked="0"/>
    </xf>
    <xf numFmtId="166" fontId="6" fillId="0" borderId="8" xfId="0" applyNumberFormat="1" applyFont="1" applyFill="1" applyBorder="1" applyAlignment="1" applyProtection="1">
      <alignment horizontal="right"/>
      <protection locked="0"/>
    </xf>
    <xf numFmtId="166" fontId="6" fillId="0" borderId="23" xfId="0" applyNumberFormat="1" applyFont="1" applyFill="1" applyBorder="1" applyAlignment="1" applyProtection="1">
      <alignment horizontal="right"/>
      <protection locked="0"/>
    </xf>
    <xf numFmtId="166" fontId="6" fillId="0" borderId="23" xfId="0" applyNumberFormat="1" applyFont="1" applyFill="1" applyBorder="1" applyAlignment="1" applyProtection="1">
      <alignment horizontal="right"/>
    </xf>
    <xf numFmtId="164" fontId="6" fillId="10" borderId="49" xfId="0" applyNumberFormat="1" applyFont="1" applyFill="1" applyBorder="1" applyAlignment="1" applyProtection="1">
      <alignment horizontal="right"/>
      <protection locked="0"/>
    </xf>
    <xf numFmtId="164" fontId="6" fillId="11" borderId="1" xfId="0" applyNumberFormat="1" applyFont="1" applyFill="1" applyBorder="1" applyAlignment="1" applyProtection="1">
      <alignment horizontal="right"/>
    </xf>
    <xf numFmtId="164" fontId="6" fillId="0" borderId="43" xfId="0" applyNumberFormat="1" applyFont="1" applyFill="1" applyBorder="1" applyAlignment="1" applyProtection="1">
      <alignment horizontal="right"/>
      <protection locked="0"/>
    </xf>
    <xf numFmtId="164" fontId="6" fillId="2" borderId="23" xfId="0" applyNumberFormat="1" applyFont="1" applyFill="1" applyBorder="1" applyAlignment="1" applyProtection="1">
      <alignment horizontal="right"/>
      <protection locked="0"/>
    </xf>
    <xf numFmtId="166" fontId="6" fillId="10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6" fillId="0" borderId="43" xfId="0" applyNumberFormat="1" applyFont="1" applyFill="1" applyBorder="1" applyAlignment="1" applyProtection="1">
      <alignment horizontal="right"/>
      <protection locked="0"/>
    </xf>
    <xf numFmtId="166" fontId="6" fillId="2" borderId="23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2" borderId="15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2" borderId="15" xfId="0" applyNumberFormat="1" applyFont="1" applyFill="1" applyBorder="1" applyAlignment="1" applyProtection="1">
      <alignment horizontal="right"/>
      <protection locked="0"/>
    </xf>
    <xf numFmtId="164" fontId="6" fillId="11" borderId="49" xfId="0" applyNumberFormat="1" applyFont="1" applyFill="1" applyBorder="1" applyAlignment="1" applyProtection="1">
      <alignment horizontal="right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6" fillId="0" borderId="23" xfId="0" applyNumberFormat="1" applyFont="1" applyBorder="1" applyAlignment="1" applyProtection="1">
      <alignment horizontal="right"/>
      <protection locked="0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0" borderId="23" xfId="0" applyNumberFormat="1" applyFont="1" applyBorder="1" applyAlignment="1" applyProtection="1">
      <alignment horizontal="right"/>
      <protection locked="0"/>
    </xf>
    <xf numFmtId="164" fontId="6" fillId="0" borderId="15" xfId="0" applyNumberFormat="1" applyFont="1" applyBorder="1" applyAlignment="1" applyProtection="1">
      <alignment horizontal="right"/>
      <protection locked="0"/>
    </xf>
    <xf numFmtId="166" fontId="6" fillId="0" borderId="15" xfId="0" applyNumberFormat="1" applyFont="1" applyBorder="1" applyAlignment="1" applyProtection="1">
      <alignment horizontal="right"/>
      <protection locked="0"/>
    </xf>
    <xf numFmtId="164" fontId="6" fillId="11" borderId="11" xfId="0" applyNumberFormat="1" applyFont="1" applyFill="1" applyBorder="1" applyAlignment="1" applyProtection="1">
      <alignment horizontal="right"/>
    </xf>
    <xf numFmtId="164" fontId="6" fillId="11" borderId="44" xfId="0" applyNumberFormat="1" applyFont="1" applyFill="1" applyBorder="1" applyAlignment="1" applyProtection="1">
      <alignment horizontal="right"/>
    </xf>
    <xf numFmtId="164" fontId="6" fillId="0" borderId="44" xfId="0" applyNumberFormat="1" applyFont="1" applyBorder="1" applyAlignment="1" applyProtection="1">
      <alignment horizontal="right"/>
      <protection locked="0"/>
    </xf>
    <xf numFmtId="164" fontId="6" fillId="0" borderId="12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</xf>
    <xf numFmtId="166" fontId="6" fillId="11" borderId="11" xfId="0" applyNumberFormat="1" applyFont="1" applyFill="1" applyBorder="1" applyAlignment="1" applyProtection="1">
      <alignment horizontal="right"/>
    </xf>
    <xf numFmtId="166" fontId="6" fillId="11" borderId="44" xfId="0" applyNumberFormat="1" applyFont="1" applyFill="1" applyBorder="1" applyAlignment="1" applyProtection="1">
      <alignment horizontal="right"/>
    </xf>
    <xf numFmtId="166" fontId="6" fillId="0" borderId="44" xfId="0" applyNumberFormat="1" applyFont="1" applyBorder="1" applyAlignment="1" applyProtection="1">
      <alignment horizontal="right"/>
      <protection locked="0"/>
    </xf>
    <xf numFmtId="166" fontId="6" fillId="0" borderId="12" xfId="0" applyNumberFormat="1" applyFont="1" applyFill="1" applyBorder="1" applyAlignment="1" applyProtection="1">
      <alignment horizontal="right"/>
      <protection locked="0"/>
    </xf>
    <xf numFmtId="166" fontId="6" fillId="0" borderId="16" xfId="0" applyNumberFormat="1" applyFont="1" applyBorder="1" applyAlignment="1" applyProtection="1">
      <alignment horizontal="right"/>
      <protection locked="0"/>
    </xf>
    <xf numFmtId="166" fontId="6" fillId="0" borderId="14" xfId="0" applyNumberFormat="1" applyFont="1" applyFill="1" applyBorder="1" applyAlignment="1" applyProtection="1">
      <alignment horizontal="right"/>
    </xf>
    <xf numFmtId="164" fontId="7" fillId="3" borderId="25" xfId="0" applyNumberFormat="1" applyFont="1" applyFill="1" applyBorder="1" applyAlignment="1" applyProtection="1">
      <alignment horizontal="right"/>
    </xf>
    <xf numFmtId="164" fontId="7" fillId="3" borderId="26" xfId="0" applyNumberFormat="1" applyFont="1" applyFill="1" applyBorder="1" applyAlignment="1" applyProtection="1">
      <alignment horizontal="right"/>
    </xf>
    <xf numFmtId="164" fontId="7" fillId="3" borderId="29" xfId="0" applyNumberFormat="1" applyFont="1" applyFill="1" applyBorder="1" applyAlignment="1" applyProtection="1">
      <alignment horizontal="right"/>
    </xf>
    <xf numFmtId="164" fontId="7" fillId="3" borderId="30" xfId="0" applyNumberFormat="1" applyFont="1" applyFill="1" applyBorder="1" applyAlignment="1" applyProtection="1">
      <alignment horizontal="right"/>
    </xf>
    <xf numFmtId="166" fontId="7" fillId="3" borderId="25" xfId="0" applyNumberFormat="1" applyFont="1" applyFill="1" applyBorder="1" applyAlignment="1" applyProtection="1">
      <alignment horizontal="right"/>
    </xf>
    <xf numFmtId="166" fontId="7" fillId="3" borderId="26" xfId="0" applyNumberFormat="1" applyFont="1" applyFill="1" applyBorder="1" applyAlignment="1" applyProtection="1">
      <alignment horizontal="right"/>
    </xf>
    <xf numFmtId="166" fontId="7" fillId="3" borderId="29" xfId="0" applyNumberFormat="1" applyFont="1" applyFill="1" applyBorder="1" applyAlignment="1" applyProtection="1">
      <alignment horizontal="right"/>
    </xf>
    <xf numFmtId="166" fontId="7" fillId="3" borderId="30" xfId="0" applyNumberFormat="1" applyFont="1" applyFill="1" applyBorder="1" applyAlignment="1" applyProtection="1">
      <alignment horizontal="right"/>
    </xf>
    <xf numFmtId="0" fontId="17" fillId="0" borderId="34" xfId="0" applyFont="1" applyBorder="1" applyAlignment="1" applyProtection="1">
      <alignment horizontal="center"/>
    </xf>
    <xf numFmtId="0" fontId="17" fillId="0" borderId="18" xfId="0" applyFont="1" applyBorder="1" applyAlignment="1" applyProtection="1">
      <alignment horizontal="center"/>
    </xf>
    <xf numFmtId="0" fontId="17" fillId="0" borderId="35" xfId="0" applyFont="1" applyBorder="1" applyAlignment="1" applyProtection="1">
      <alignment horizontal="center"/>
    </xf>
    <xf numFmtId="166" fontId="17" fillId="0" borderId="34" xfId="0" applyNumberFormat="1" applyFont="1" applyBorder="1" applyAlignment="1" applyProtection="1">
      <alignment horizontal="center"/>
    </xf>
    <xf numFmtId="166" fontId="17" fillId="0" borderId="18" xfId="0" applyNumberFormat="1" applyFont="1" applyBorder="1" applyAlignment="1" applyProtection="1">
      <alignment horizontal="center"/>
    </xf>
    <xf numFmtId="166" fontId="17" fillId="0" borderId="35" xfId="0" applyNumberFormat="1" applyFont="1" applyBorder="1" applyAlignment="1" applyProtection="1">
      <alignment horizontal="center"/>
    </xf>
    <xf numFmtId="164" fontId="6" fillId="0" borderId="7" xfId="0" applyNumberFormat="1" applyFont="1" applyBorder="1" applyProtection="1">
      <protection locked="0"/>
    </xf>
    <xf numFmtId="164" fontId="6" fillId="0" borderId="55" xfId="0" applyNumberFormat="1" applyFont="1" applyBorder="1" applyProtection="1">
      <protection locked="0"/>
    </xf>
    <xf numFmtId="164" fontId="6" fillId="0" borderId="13" xfId="0" applyNumberFormat="1" applyFont="1" applyFill="1" applyBorder="1" applyAlignment="1" applyProtection="1">
      <alignment horizontal="right"/>
    </xf>
    <xf numFmtId="165" fontId="6" fillId="0" borderId="4" xfId="0" applyNumberFormat="1" applyFont="1" applyBorder="1" applyProtection="1">
      <protection locked="0"/>
    </xf>
    <xf numFmtId="165" fontId="6" fillId="0" borderId="7" xfId="0" applyNumberFormat="1" applyFont="1" applyBorder="1" applyProtection="1">
      <protection locked="0"/>
    </xf>
    <xf numFmtId="166" fontId="6" fillId="0" borderId="55" xfId="0" applyNumberFormat="1" applyFont="1" applyBorder="1" applyProtection="1">
      <protection locked="0"/>
    </xf>
    <xf numFmtId="166" fontId="6" fillId="0" borderId="13" xfId="0" applyNumberFormat="1" applyFont="1" applyFill="1" applyBorder="1" applyAlignment="1" applyProtection="1">
      <alignment horizontal="right"/>
    </xf>
    <xf numFmtId="164" fontId="6" fillId="0" borderId="4" xfId="0" applyNumberFormat="1" applyFont="1" applyBorder="1" applyProtection="1">
      <protection locked="0"/>
    </xf>
    <xf numFmtId="164" fontId="6" fillId="0" borderId="2" xfId="0" applyNumberFormat="1" applyFont="1" applyFill="1" applyBorder="1" applyProtection="1">
      <protection locked="0"/>
    </xf>
    <xf numFmtId="164" fontId="6" fillId="0" borderId="54" xfId="0" applyNumberFormat="1" applyFont="1" applyFill="1" applyBorder="1" applyProtection="1">
      <protection locked="0"/>
    </xf>
    <xf numFmtId="165" fontId="6" fillId="0" borderId="49" xfId="0" applyNumberFormat="1" applyFont="1" applyFill="1" applyBorder="1" applyProtection="1">
      <protection locked="0"/>
    </xf>
    <xf numFmtId="165" fontId="6" fillId="0" borderId="2" xfId="0" applyNumberFormat="1" applyFont="1" applyFill="1" applyBorder="1" applyProtection="1">
      <protection locked="0"/>
    </xf>
    <xf numFmtId="166" fontId="6" fillId="0" borderId="54" xfId="0" applyNumberFormat="1" applyFont="1" applyBorder="1" applyProtection="1">
      <protection locked="0"/>
    </xf>
    <xf numFmtId="166" fontId="6" fillId="0" borderId="54" xfId="0" applyNumberFormat="1" applyFont="1" applyFill="1" applyBorder="1" applyProtection="1">
      <protection locked="0"/>
    </xf>
    <xf numFmtId="164" fontId="6" fillId="0" borderId="49" xfId="0" applyNumberFormat="1" applyFont="1" applyFill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5" fontId="6" fillId="0" borderId="49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164" fontId="6" fillId="0" borderId="49" xfId="0" applyNumberFormat="1" applyFont="1" applyBorder="1" applyProtection="1">
      <protection locked="0"/>
    </xf>
    <xf numFmtId="164" fontId="6" fillId="0" borderId="2" xfId="0" applyNumberFormat="1" applyFont="1" applyBorder="1" applyAlignment="1" applyProtection="1">
      <protection locked="0"/>
    </xf>
    <xf numFmtId="0" fontId="6" fillId="0" borderId="49" xfId="0" applyFont="1" applyBorder="1" applyProtection="1">
      <protection locked="0"/>
    </xf>
    <xf numFmtId="0" fontId="6" fillId="0" borderId="2" xfId="0" applyFont="1" applyBorder="1" applyProtection="1">
      <protection locked="0"/>
    </xf>
    <xf numFmtId="164" fontId="6" fillId="0" borderId="40" xfId="0" applyNumberFormat="1" applyFont="1" applyBorder="1" applyProtection="1">
      <protection locked="0"/>
    </xf>
    <xf numFmtId="165" fontId="6" fillId="0" borderId="11" xfId="0" applyNumberFormat="1" applyFont="1" applyBorder="1" applyProtection="1">
      <protection locked="0"/>
    </xf>
    <xf numFmtId="165" fontId="6" fillId="0" borderId="40" xfId="0" applyNumberFormat="1" applyFont="1" applyBorder="1" applyProtection="1">
      <protection locked="0"/>
    </xf>
    <xf numFmtId="166" fontId="6" fillId="0" borderId="57" xfId="0" applyNumberFormat="1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164" fontId="7" fillId="5" borderId="34" xfId="0" applyNumberFormat="1" applyFont="1" applyFill="1" applyBorder="1" applyProtection="1"/>
    <xf numFmtId="164" fontId="6" fillId="5" borderId="55" xfId="0" applyNumberFormat="1" applyFont="1" applyFill="1" applyBorder="1" applyProtection="1">
      <protection locked="0"/>
    </xf>
    <xf numFmtId="164" fontId="7" fillId="5" borderId="56" xfId="0" applyNumberFormat="1" applyFont="1" applyFill="1" applyBorder="1" applyProtection="1"/>
    <xf numFmtId="164" fontId="7" fillId="5" borderId="3" xfId="0" applyNumberFormat="1" applyFont="1" applyFill="1" applyBorder="1" applyProtection="1"/>
    <xf numFmtId="165" fontId="7" fillId="5" borderId="34" xfId="0" applyNumberFormat="1" applyFont="1" applyFill="1" applyBorder="1" applyProtection="1"/>
    <xf numFmtId="166" fontId="6" fillId="5" borderId="55" xfId="0" applyNumberFormat="1" applyFont="1" applyFill="1" applyBorder="1" applyProtection="1">
      <protection locked="0"/>
    </xf>
    <xf numFmtId="166" fontId="7" fillId="5" borderId="56" xfId="0" applyNumberFormat="1" applyFont="1" applyFill="1" applyBorder="1" applyProtection="1"/>
    <xf numFmtId="164" fontId="7" fillId="14" borderId="34" xfId="0" applyNumberFormat="1" applyFont="1" applyFill="1" applyBorder="1" applyProtection="1">
      <protection locked="0"/>
    </xf>
    <xf numFmtId="164" fontId="7" fillId="14" borderId="18" xfId="0" applyNumberFormat="1" applyFont="1" applyFill="1" applyBorder="1" applyProtection="1"/>
    <xf numFmtId="164" fontId="7" fillId="14" borderId="19" xfId="0" applyNumberFormat="1" applyFont="1" applyFill="1" applyBorder="1" applyProtection="1"/>
    <xf numFmtId="164" fontId="7" fillId="8" borderId="0" xfId="0" applyNumberFormat="1" applyFont="1" applyFill="1" applyBorder="1" applyProtection="1"/>
    <xf numFmtId="164" fontId="18" fillId="8" borderId="0" xfId="0" applyNumberFormat="1" applyFont="1" applyFill="1" applyBorder="1" applyAlignment="1" applyProtection="1">
      <alignment horizontal="right"/>
    </xf>
    <xf numFmtId="0" fontId="6" fillId="8" borderId="0" xfId="0" applyFont="1" applyFill="1" applyBorder="1"/>
    <xf numFmtId="164" fontId="7" fillId="0" borderId="31" xfId="0" applyNumberFormat="1" applyFont="1" applyFill="1" applyBorder="1" applyProtection="1">
      <protection locked="0"/>
    </xf>
    <xf numFmtId="164" fontId="7" fillId="0" borderId="32" xfId="0" applyNumberFormat="1" applyFont="1" applyFill="1" applyBorder="1" applyProtection="1">
      <protection locked="0"/>
    </xf>
    <xf numFmtId="164" fontId="7" fillId="0" borderId="20" xfId="0" applyNumberFormat="1" applyFont="1" applyFill="1" applyBorder="1" applyProtection="1">
      <protection locked="0"/>
    </xf>
    <xf numFmtId="164" fontId="7" fillId="8" borderId="0" xfId="0" applyNumberFormat="1" applyFont="1" applyFill="1" applyBorder="1" applyProtection="1">
      <protection locked="0"/>
    </xf>
    <xf numFmtId="0" fontId="6" fillId="8" borderId="0" xfId="0" applyFont="1" applyFill="1"/>
    <xf numFmtId="164" fontId="19" fillId="14" borderId="34" xfId="0" applyNumberFormat="1" applyFont="1" applyFill="1" applyBorder="1" applyAlignment="1" applyProtection="1">
      <alignment horizontal="center" wrapText="1"/>
      <protection locked="0"/>
    </xf>
    <xf numFmtId="164" fontId="19" fillId="14" borderId="19" xfId="0" applyNumberFormat="1" applyFont="1" applyFill="1" applyBorder="1" applyAlignment="1" applyProtection="1">
      <alignment horizontal="center" wrapText="1"/>
    </xf>
    <xf numFmtId="164" fontId="19" fillId="8" borderId="0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Protection="1">
      <protection locked="0"/>
    </xf>
    <xf numFmtId="164" fontId="7" fillId="8" borderId="0" xfId="0" applyNumberFormat="1" applyFont="1" applyFill="1" applyBorder="1" applyAlignment="1" applyProtection="1">
      <alignment horizontal="right"/>
      <protection locked="0"/>
    </xf>
    <xf numFmtId="164" fontId="7" fillId="12" borderId="1" xfId="0" applyNumberFormat="1" applyFont="1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right"/>
      <protection locked="0"/>
    </xf>
    <xf numFmtId="164" fontId="7" fillId="0" borderId="1" xfId="0" applyNumberFormat="1" applyFont="1" applyFill="1" applyBorder="1" applyProtection="1"/>
    <xf numFmtId="164" fontId="7" fillId="0" borderId="1" xfId="0" applyNumberFormat="1" applyFont="1" applyFill="1" applyBorder="1" applyProtection="1">
      <protection locked="0"/>
    </xf>
    <xf numFmtId="164" fontId="6" fillId="13" borderId="55" xfId="0" applyNumberFormat="1" applyFont="1" applyFill="1" applyBorder="1" applyProtection="1">
      <protection locked="0"/>
    </xf>
    <xf numFmtId="164" fontId="6" fillId="13" borderId="54" xfId="0" applyNumberFormat="1" applyFont="1" applyFill="1" applyBorder="1" applyProtection="1">
      <protection locked="0"/>
    </xf>
    <xf numFmtId="0" fontId="7" fillId="4" borderId="30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0" fillId="8" borderId="0" xfId="0" applyFont="1" applyFill="1"/>
    <xf numFmtId="0" fontId="15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164" fontId="6" fillId="0" borderId="27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164" fontId="7" fillId="5" borderId="41" xfId="0" applyNumberFormat="1" applyFont="1" applyFill="1" applyBorder="1" applyAlignment="1" applyProtection="1">
      <alignment horizontal="center"/>
    </xf>
    <xf numFmtId="164" fontId="7" fillId="5" borderId="42" xfId="0" applyNumberFormat="1" applyFont="1" applyFill="1" applyBorder="1" applyAlignment="1" applyProtection="1">
      <alignment horizontal="center"/>
    </xf>
    <xf numFmtId="164" fontId="7" fillId="5" borderId="59" xfId="0" applyNumberFormat="1" applyFont="1" applyFill="1" applyBorder="1" applyAlignment="1" applyProtection="1">
      <alignment horizontal="center"/>
    </xf>
    <xf numFmtId="164" fontId="7" fillId="5" borderId="53" xfId="0" applyNumberFormat="1" applyFont="1" applyFill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7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7" fillId="5" borderId="41" xfId="0" applyNumberFormat="1" applyFont="1" applyFill="1" applyBorder="1" applyAlignment="1" applyProtection="1">
      <alignment horizontal="center"/>
    </xf>
    <xf numFmtId="166" fontId="7" fillId="5" borderId="42" xfId="0" applyNumberFormat="1" applyFont="1" applyFill="1" applyBorder="1" applyAlignment="1" applyProtection="1">
      <alignment horizontal="center"/>
    </xf>
    <xf numFmtId="166" fontId="7" fillId="5" borderId="59" xfId="0" applyNumberFormat="1" applyFont="1" applyFill="1" applyBorder="1" applyAlignment="1" applyProtection="1">
      <alignment horizontal="center"/>
    </xf>
    <xf numFmtId="166" fontId="7" fillId="5" borderId="53" xfId="0" applyNumberFormat="1" applyFont="1" applyFill="1" applyBorder="1" applyAlignment="1" applyProtection="1">
      <alignment horizontal="center"/>
    </xf>
    <xf numFmtId="166" fontId="7" fillId="0" borderId="41" xfId="0" applyNumberFormat="1" applyFont="1" applyBorder="1" applyAlignment="1" applyProtection="1">
      <alignment horizontal="center"/>
    </xf>
    <xf numFmtId="166" fontId="7" fillId="0" borderId="42" xfId="0" applyNumberFormat="1" applyFont="1" applyBorder="1" applyAlignment="1" applyProtection="1">
      <alignment horizontal="center"/>
    </xf>
    <xf numFmtId="166" fontId="6" fillId="0" borderId="27" xfId="0" applyNumberFormat="1" applyFont="1" applyBorder="1" applyAlignment="1" applyProtection="1">
      <alignment horizontal="center" vertical="center"/>
    </xf>
    <xf numFmtId="166" fontId="6" fillId="0" borderId="20" xfId="0" applyNumberFormat="1" applyFont="1" applyBorder="1" applyAlignment="1" applyProtection="1">
      <alignment horizontal="center" vertical="center"/>
    </xf>
    <xf numFmtId="166" fontId="6" fillId="0" borderId="30" xfId="0" applyNumberFormat="1" applyFont="1" applyBorder="1" applyAlignment="1" applyProtection="1">
      <alignment horizontal="center" vertical="center"/>
    </xf>
    <xf numFmtId="166" fontId="6" fillId="0" borderId="21" xfId="0" applyNumberFormat="1" applyFont="1" applyBorder="1" applyAlignment="1" applyProtection="1">
      <alignment horizontal="center" vertical="center"/>
    </xf>
    <xf numFmtId="166" fontId="16" fillId="0" borderId="53" xfId="0" applyNumberFormat="1" applyFont="1" applyFill="1" applyBorder="1" applyAlignment="1" applyProtection="1">
      <alignment horizontal="center" vertical="center"/>
    </xf>
    <xf numFmtId="166" fontId="16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16" fillId="0" borderId="53" xfId="0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</xf>
    <xf numFmtId="10" fontId="7" fillId="0" borderId="30" xfId="0" applyNumberFormat="1" applyFont="1" applyFill="1" applyBorder="1" applyAlignment="1" applyProtection="1">
      <alignment horizontal="center" vertical="center" wrapText="1"/>
    </xf>
    <xf numFmtId="10" fontId="7" fillId="0" borderId="14" xfId="0" applyNumberFormat="1" applyFont="1" applyFill="1" applyBorder="1" applyAlignment="1" applyProtection="1">
      <alignment horizontal="center" vertical="center" wrapText="1"/>
    </xf>
    <xf numFmtId="10" fontId="7" fillId="0" borderId="21" xfId="0" applyNumberFormat="1" applyFont="1" applyFill="1" applyBorder="1" applyAlignment="1" applyProtection="1">
      <alignment horizontal="center" vertical="center" wrapText="1"/>
    </xf>
    <xf numFmtId="10" fontId="7" fillId="0" borderId="30" xfId="0" applyNumberFormat="1" applyFont="1" applyBorder="1" applyAlignment="1" applyProtection="1">
      <alignment horizontal="center" vertical="center" wrapText="1"/>
    </xf>
    <xf numFmtId="10" fontId="7" fillId="0" borderId="14" xfId="0" applyNumberFormat="1" applyFont="1" applyBorder="1" applyAlignment="1" applyProtection="1">
      <alignment horizontal="center" vertical="center" wrapText="1"/>
    </xf>
    <xf numFmtId="10" fontId="7" fillId="0" borderId="21" xfId="0" applyNumberFormat="1" applyFont="1" applyBorder="1" applyAlignment="1" applyProtection="1">
      <alignment horizontal="center" vertical="center" wrapText="1"/>
    </xf>
    <xf numFmtId="0" fontId="7" fillId="4" borderId="28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56" xfId="0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57" zoomScaleNormal="57" zoomScaleSheetLayoutView="80" workbookViewId="0">
      <selection activeCell="V39" sqref="V39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customWidth="1"/>
    <col min="6" max="6" width="16.88671875" customWidth="1"/>
    <col min="7" max="7" width="21.33203125" bestFit="1" customWidth="1"/>
    <col min="8" max="8" width="14.109375" customWidth="1"/>
    <col min="9" max="9" width="11.33203125" customWidth="1"/>
    <col min="10" max="10" width="16.109375" customWidth="1"/>
    <col min="11" max="11" width="17.88671875" customWidth="1"/>
    <col min="12" max="12" width="13.6640625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customWidth="1"/>
    <col min="22" max="22" width="16.109375" customWidth="1"/>
    <col min="23" max="23" width="14.109375" customWidth="1"/>
    <col min="24" max="24" width="13.109375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3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4">
      <c r="A2" s="5"/>
      <c r="B2" s="7" t="s">
        <v>102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4">
      <c r="A4" s="5"/>
      <c r="B4" s="5" t="s">
        <v>42</v>
      </c>
      <c r="C4" s="5"/>
      <c r="D4" s="276" t="s">
        <v>103</v>
      </c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3">
      <c r="A6" s="5"/>
      <c r="B6" s="5" t="s">
        <v>43</v>
      </c>
      <c r="C6" s="5"/>
      <c r="D6" s="39">
        <v>46789707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3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3">
      <c r="A8" s="5"/>
      <c r="B8" s="5" t="s">
        <v>44</v>
      </c>
      <c r="C8" s="5"/>
      <c r="D8" s="277" t="s">
        <v>106</v>
      </c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4"/>
      <c r="W8" s="4"/>
      <c r="X8" s="4"/>
      <c r="Y8" s="4"/>
      <c r="Z8" s="4"/>
      <c r="AA8" s="4"/>
      <c r="AB8" s="4"/>
      <c r="AC8" s="4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5">
      <c r="A10" s="5"/>
      <c r="B10" s="255" t="s">
        <v>36</v>
      </c>
      <c r="C10" s="282" t="s">
        <v>37</v>
      </c>
      <c r="D10" s="232" t="s">
        <v>98</v>
      </c>
      <c r="E10" s="233"/>
      <c r="F10" s="233"/>
      <c r="G10" s="233"/>
      <c r="H10" s="233"/>
      <c r="I10" s="234"/>
      <c r="J10" s="232" t="s">
        <v>99</v>
      </c>
      <c r="K10" s="233"/>
      <c r="L10" s="233"/>
      <c r="M10" s="233"/>
      <c r="N10" s="233"/>
      <c r="O10" s="234"/>
      <c r="P10" s="232" t="s">
        <v>100</v>
      </c>
      <c r="Q10" s="233"/>
      <c r="R10" s="233"/>
      <c r="S10" s="233"/>
      <c r="T10" s="233"/>
      <c r="U10" s="234"/>
      <c r="V10" s="232" t="s">
        <v>101</v>
      </c>
      <c r="W10" s="233"/>
      <c r="X10" s="233"/>
      <c r="Y10" s="233"/>
      <c r="Z10" s="233"/>
      <c r="AA10" s="234"/>
      <c r="AB10" s="293" t="s">
        <v>97</v>
      </c>
      <c r="AC10" s="4"/>
      <c r="AD10" s="4"/>
    </row>
    <row r="11" spans="1:30" ht="30.75" customHeight="1" thickBot="1" x14ac:dyDescent="0.35">
      <c r="A11" s="5"/>
      <c r="B11" s="256"/>
      <c r="C11" s="283"/>
      <c r="D11" s="235" t="s">
        <v>38</v>
      </c>
      <c r="E11" s="236"/>
      <c r="F11" s="236"/>
      <c r="G11" s="237"/>
      <c r="H11" s="9" t="s">
        <v>39</v>
      </c>
      <c r="I11" s="9" t="s">
        <v>60</v>
      </c>
      <c r="J11" s="235" t="s">
        <v>38</v>
      </c>
      <c r="K11" s="236"/>
      <c r="L11" s="236"/>
      <c r="M11" s="237"/>
      <c r="N11" s="9" t="s">
        <v>39</v>
      </c>
      <c r="O11" s="9" t="s">
        <v>60</v>
      </c>
      <c r="P11" s="235" t="s">
        <v>38</v>
      </c>
      <c r="Q11" s="236"/>
      <c r="R11" s="236"/>
      <c r="S11" s="237"/>
      <c r="T11" s="9" t="s">
        <v>39</v>
      </c>
      <c r="U11" s="9" t="s">
        <v>60</v>
      </c>
      <c r="V11" s="296" t="s">
        <v>38</v>
      </c>
      <c r="W11" s="297"/>
      <c r="X11" s="297"/>
      <c r="Y11" s="298"/>
      <c r="Z11" s="229" t="s">
        <v>39</v>
      </c>
      <c r="AA11" s="229" t="s">
        <v>60</v>
      </c>
      <c r="AB11" s="294"/>
      <c r="AC11" s="4"/>
      <c r="AD11" s="4"/>
    </row>
    <row r="12" spans="1:30" ht="15.75" customHeight="1" thickBot="1" x14ac:dyDescent="0.35">
      <c r="A12" s="5"/>
      <c r="B12" s="256"/>
      <c r="C12" s="284"/>
      <c r="D12" s="238" t="s">
        <v>61</v>
      </c>
      <c r="E12" s="239"/>
      <c r="F12" s="239"/>
      <c r="G12" s="239"/>
      <c r="H12" s="239"/>
      <c r="I12" s="240"/>
      <c r="J12" s="238" t="s">
        <v>61</v>
      </c>
      <c r="K12" s="239"/>
      <c r="L12" s="239"/>
      <c r="M12" s="239"/>
      <c r="N12" s="239"/>
      <c r="O12" s="240"/>
      <c r="P12" s="238" t="s">
        <v>61</v>
      </c>
      <c r="Q12" s="239"/>
      <c r="R12" s="239"/>
      <c r="S12" s="239"/>
      <c r="T12" s="239"/>
      <c r="U12" s="240"/>
      <c r="V12" s="299" t="s">
        <v>61</v>
      </c>
      <c r="W12" s="300"/>
      <c r="X12" s="300"/>
      <c r="Y12" s="300"/>
      <c r="Z12" s="300"/>
      <c r="AA12" s="301"/>
      <c r="AB12" s="294"/>
      <c r="AC12" s="4"/>
      <c r="AD12" s="4"/>
    </row>
    <row r="13" spans="1:30" ht="15.75" customHeight="1" thickBot="1" x14ac:dyDescent="0.35">
      <c r="A13" s="5"/>
      <c r="B13" s="257"/>
      <c r="C13" s="285"/>
      <c r="D13" s="241" t="s">
        <v>56</v>
      </c>
      <c r="E13" s="242"/>
      <c r="F13" s="242"/>
      <c r="G13" s="243" t="s">
        <v>62</v>
      </c>
      <c r="H13" s="245" t="s">
        <v>65</v>
      </c>
      <c r="I13" s="247" t="s">
        <v>61</v>
      </c>
      <c r="J13" s="241" t="s">
        <v>56</v>
      </c>
      <c r="K13" s="242"/>
      <c r="L13" s="242"/>
      <c r="M13" s="243" t="s">
        <v>62</v>
      </c>
      <c r="N13" s="245" t="s">
        <v>65</v>
      </c>
      <c r="O13" s="247" t="s">
        <v>61</v>
      </c>
      <c r="P13" s="241" t="s">
        <v>56</v>
      </c>
      <c r="Q13" s="242"/>
      <c r="R13" s="242"/>
      <c r="S13" s="243" t="s">
        <v>62</v>
      </c>
      <c r="T13" s="245" t="s">
        <v>65</v>
      </c>
      <c r="U13" s="247" t="s">
        <v>61</v>
      </c>
      <c r="V13" s="241" t="s">
        <v>56</v>
      </c>
      <c r="W13" s="242"/>
      <c r="X13" s="242"/>
      <c r="Y13" s="243" t="s">
        <v>62</v>
      </c>
      <c r="Z13" s="245" t="s">
        <v>65</v>
      </c>
      <c r="AA13" s="247" t="s">
        <v>61</v>
      </c>
      <c r="AB13" s="294"/>
      <c r="AC13" s="4"/>
      <c r="AD13" s="4"/>
    </row>
    <row r="14" spans="1:30" ht="15" thickBot="1" x14ac:dyDescent="0.35">
      <c r="A14" s="5"/>
      <c r="B14" s="10"/>
      <c r="C14" s="11"/>
      <c r="D14" s="111" t="s">
        <v>57</v>
      </c>
      <c r="E14" s="112" t="s">
        <v>88</v>
      </c>
      <c r="F14" s="112" t="s">
        <v>58</v>
      </c>
      <c r="G14" s="244"/>
      <c r="H14" s="246"/>
      <c r="I14" s="248"/>
      <c r="J14" s="111" t="s">
        <v>57</v>
      </c>
      <c r="K14" s="112" t="s">
        <v>88</v>
      </c>
      <c r="L14" s="112" t="s">
        <v>58</v>
      </c>
      <c r="M14" s="244"/>
      <c r="N14" s="246"/>
      <c r="O14" s="248"/>
      <c r="P14" s="111" t="s">
        <v>57</v>
      </c>
      <c r="Q14" s="112" t="s">
        <v>88</v>
      </c>
      <c r="R14" s="112" t="s">
        <v>58</v>
      </c>
      <c r="S14" s="244"/>
      <c r="T14" s="246"/>
      <c r="U14" s="248"/>
      <c r="V14" s="111" t="s">
        <v>57</v>
      </c>
      <c r="W14" s="112" t="s">
        <v>88</v>
      </c>
      <c r="X14" s="112" t="s">
        <v>58</v>
      </c>
      <c r="Y14" s="244"/>
      <c r="Z14" s="246"/>
      <c r="AA14" s="248"/>
      <c r="AB14" s="295"/>
      <c r="AC14" s="4"/>
      <c r="AD14" s="4"/>
    </row>
    <row r="15" spans="1:30" x14ac:dyDescent="0.3">
      <c r="A15" s="5"/>
      <c r="B15" s="18" t="s">
        <v>0</v>
      </c>
      <c r="C15" s="78" t="s">
        <v>51</v>
      </c>
      <c r="D15" s="113"/>
      <c r="E15" s="114"/>
      <c r="F15" s="115">
        <v>2269.4870000000001</v>
      </c>
      <c r="G15" s="116">
        <f>SUM(D15:F15)</f>
        <v>2269.4870000000001</v>
      </c>
      <c r="H15" s="117">
        <v>191.72</v>
      </c>
      <c r="I15" s="118">
        <f>G15+H15</f>
        <v>2461.2069999999999</v>
      </c>
      <c r="J15" s="119"/>
      <c r="K15" s="120"/>
      <c r="L15" s="121">
        <v>1000</v>
      </c>
      <c r="M15" s="122">
        <f t="shared" ref="M15:M23" si="0">SUM(J15:L15)</f>
        <v>1000</v>
      </c>
      <c r="N15" s="123">
        <v>100</v>
      </c>
      <c r="O15" s="124">
        <f>M15+N15</f>
        <v>1100</v>
      </c>
      <c r="P15" s="113"/>
      <c r="Q15" s="114"/>
      <c r="R15" s="115">
        <v>1503.4</v>
      </c>
      <c r="S15" s="116">
        <f>SUM(P15:R15)</f>
        <v>1503.4</v>
      </c>
      <c r="T15" s="117">
        <v>95.7</v>
      </c>
      <c r="U15" s="118">
        <f>S15+T15</f>
        <v>1599.1000000000001</v>
      </c>
      <c r="V15" s="113"/>
      <c r="W15" s="114"/>
      <c r="X15" s="115">
        <v>2000</v>
      </c>
      <c r="Y15" s="116">
        <f>SUM(V15:X15)</f>
        <v>2000</v>
      </c>
      <c r="Z15" s="117">
        <v>200</v>
      </c>
      <c r="AA15" s="118">
        <f>Y15+Z15</f>
        <v>2200</v>
      </c>
      <c r="AB15" s="97">
        <f>(AA15/O15)</f>
        <v>2</v>
      </c>
      <c r="AC15" s="4"/>
      <c r="AD15" s="4"/>
    </row>
    <row r="16" spans="1:30" x14ac:dyDescent="0.3">
      <c r="A16" s="5"/>
      <c r="B16" s="12" t="s">
        <v>1</v>
      </c>
      <c r="C16" s="79" t="s">
        <v>59</v>
      </c>
      <c r="D16" s="125">
        <v>5053</v>
      </c>
      <c r="E16" s="126"/>
      <c r="F16" s="126"/>
      <c r="G16" s="127">
        <f t="shared" ref="G16:G23" si="1">SUM(D16:F16)</f>
        <v>5053</v>
      </c>
      <c r="H16" s="128"/>
      <c r="I16" s="118">
        <f t="shared" ref="I16:I23" si="2">G16+H16</f>
        <v>5053</v>
      </c>
      <c r="J16" s="129">
        <v>6109</v>
      </c>
      <c r="K16" s="130"/>
      <c r="L16" s="130"/>
      <c r="M16" s="131">
        <f t="shared" si="0"/>
        <v>6109</v>
      </c>
      <c r="N16" s="132"/>
      <c r="O16" s="124">
        <f t="shared" ref="O16:O20" si="3">M16+N16</f>
        <v>6109</v>
      </c>
      <c r="P16" s="125">
        <v>3054.6</v>
      </c>
      <c r="Q16" s="126"/>
      <c r="R16" s="126"/>
      <c r="S16" s="127">
        <f t="shared" ref="S16:S23" si="4">SUM(P16:R16)</f>
        <v>3054.6</v>
      </c>
      <c r="T16" s="128"/>
      <c r="U16" s="118">
        <f t="shared" ref="U16:U20" si="5">S16+T16</f>
        <v>3054.6</v>
      </c>
      <c r="V16" s="125">
        <v>6209</v>
      </c>
      <c r="W16" s="126"/>
      <c r="X16" s="126"/>
      <c r="Y16" s="127">
        <f t="shared" ref="Y16:Y23" si="6">SUM(V16:X16)</f>
        <v>6209</v>
      </c>
      <c r="Z16" s="128"/>
      <c r="AA16" s="118">
        <f t="shared" ref="AA16:AA20" si="7">Y16+Z16</f>
        <v>6209</v>
      </c>
      <c r="AB16" s="97">
        <f t="shared" ref="AB16:AB24" si="8">(AA16/O16)</f>
        <v>1.0163692912096907</v>
      </c>
      <c r="AC16" s="4"/>
      <c r="AD16" s="4"/>
    </row>
    <row r="17" spans="1:30" x14ac:dyDescent="0.3">
      <c r="A17" s="5"/>
      <c r="B17" s="12" t="s">
        <v>3</v>
      </c>
      <c r="C17" s="80" t="s">
        <v>77</v>
      </c>
      <c r="D17" s="133">
        <v>894.81500000000005</v>
      </c>
      <c r="E17" s="126"/>
      <c r="F17" s="126"/>
      <c r="G17" s="127">
        <f t="shared" si="1"/>
        <v>894.81500000000005</v>
      </c>
      <c r="H17" s="134"/>
      <c r="I17" s="118">
        <f t="shared" si="2"/>
        <v>894.81500000000005</v>
      </c>
      <c r="J17" s="135">
        <v>301.60000000000002</v>
      </c>
      <c r="K17" s="130"/>
      <c r="L17" s="130"/>
      <c r="M17" s="131">
        <f t="shared" si="0"/>
        <v>301.60000000000002</v>
      </c>
      <c r="N17" s="136"/>
      <c r="O17" s="124">
        <f t="shared" si="3"/>
        <v>301.60000000000002</v>
      </c>
      <c r="P17" s="133">
        <v>0</v>
      </c>
      <c r="Q17" s="126"/>
      <c r="R17" s="126"/>
      <c r="S17" s="127">
        <f t="shared" si="4"/>
        <v>0</v>
      </c>
      <c r="T17" s="134"/>
      <c r="U17" s="118">
        <f t="shared" si="5"/>
        <v>0</v>
      </c>
      <c r="V17" s="133">
        <v>509</v>
      </c>
      <c r="W17" s="126"/>
      <c r="X17" s="126"/>
      <c r="Y17" s="127">
        <f t="shared" si="6"/>
        <v>509</v>
      </c>
      <c r="Z17" s="134"/>
      <c r="AA17" s="118">
        <f t="shared" si="7"/>
        <v>509</v>
      </c>
      <c r="AB17" s="97">
        <f t="shared" si="8"/>
        <v>1.6876657824933685</v>
      </c>
      <c r="AC17" s="4"/>
      <c r="AD17" s="4"/>
    </row>
    <row r="18" spans="1:30" x14ac:dyDescent="0.3">
      <c r="A18" s="5"/>
      <c r="B18" s="12" t="s">
        <v>5</v>
      </c>
      <c r="C18" s="81" t="s">
        <v>52</v>
      </c>
      <c r="D18" s="137"/>
      <c r="E18" s="138">
        <f>40543.586+157.599+739.895+185.768+600.1</f>
        <v>42226.947999999997</v>
      </c>
      <c r="F18" s="126"/>
      <c r="G18" s="127">
        <f t="shared" si="1"/>
        <v>42226.947999999997</v>
      </c>
      <c r="H18" s="117">
        <v>0</v>
      </c>
      <c r="I18" s="118">
        <f t="shared" si="2"/>
        <v>42226.947999999997</v>
      </c>
      <c r="J18" s="139"/>
      <c r="K18" s="140">
        <v>40078</v>
      </c>
      <c r="L18" s="130"/>
      <c r="M18" s="131">
        <f t="shared" si="0"/>
        <v>40078</v>
      </c>
      <c r="N18" s="123"/>
      <c r="O18" s="124">
        <f t="shared" si="3"/>
        <v>40078</v>
      </c>
      <c r="P18" s="137"/>
      <c r="Q18" s="138">
        <f>20429+301.6-551.064</f>
        <v>20179.536</v>
      </c>
      <c r="R18" s="126"/>
      <c r="S18" s="127">
        <f t="shared" si="4"/>
        <v>20179.536</v>
      </c>
      <c r="T18" s="117">
        <v>0</v>
      </c>
      <c r="U18" s="118">
        <f t="shared" si="5"/>
        <v>20179.536</v>
      </c>
      <c r="V18" s="137"/>
      <c r="W18" s="138">
        <f>42820.4+1377.6+1200</f>
        <v>45398</v>
      </c>
      <c r="X18" s="126"/>
      <c r="Y18" s="127">
        <f t="shared" si="6"/>
        <v>45398</v>
      </c>
      <c r="Z18" s="117"/>
      <c r="AA18" s="118">
        <f t="shared" si="7"/>
        <v>45398</v>
      </c>
      <c r="AB18" s="97">
        <f t="shared" si="8"/>
        <v>1.1327411547482409</v>
      </c>
      <c r="AC18" s="4"/>
      <c r="AD18" s="4"/>
    </row>
    <row r="19" spans="1:30" x14ac:dyDescent="0.3">
      <c r="A19" s="5"/>
      <c r="B19" s="12" t="s">
        <v>7</v>
      </c>
      <c r="C19" s="22" t="s">
        <v>45</v>
      </c>
      <c r="D19" s="137"/>
      <c r="E19" s="126"/>
      <c r="F19" s="141">
        <v>1102.1289999999999</v>
      </c>
      <c r="G19" s="127">
        <f t="shared" si="1"/>
        <v>1102.1289999999999</v>
      </c>
      <c r="H19" s="142">
        <v>0</v>
      </c>
      <c r="I19" s="118">
        <f t="shared" si="2"/>
        <v>1102.1289999999999</v>
      </c>
      <c r="J19" s="139"/>
      <c r="K19" s="130"/>
      <c r="L19" s="143">
        <v>0</v>
      </c>
      <c r="M19" s="131">
        <f t="shared" si="0"/>
        <v>0</v>
      </c>
      <c r="N19" s="144"/>
      <c r="O19" s="124">
        <f t="shared" si="3"/>
        <v>0</v>
      </c>
      <c r="P19" s="137"/>
      <c r="Q19" s="126"/>
      <c r="R19" s="141">
        <v>551.06399999999996</v>
      </c>
      <c r="S19" s="127">
        <f t="shared" si="4"/>
        <v>551.06399999999996</v>
      </c>
      <c r="T19" s="142">
        <v>0</v>
      </c>
      <c r="U19" s="118">
        <f t="shared" si="5"/>
        <v>551.06399999999996</v>
      </c>
      <c r="V19" s="137"/>
      <c r="W19" s="126"/>
      <c r="X19" s="141">
        <v>500</v>
      </c>
      <c r="Y19" s="127">
        <f t="shared" si="6"/>
        <v>500</v>
      </c>
      <c r="Z19" s="142"/>
      <c r="AA19" s="118">
        <f t="shared" si="7"/>
        <v>500</v>
      </c>
      <c r="AB19" s="97" t="e">
        <f t="shared" si="8"/>
        <v>#DIV/0!</v>
      </c>
      <c r="AC19" s="4"/>
      <c r="AD19" s="4"/>
    </row>
    <row r="20" spans="1:30" x14ac:dyDescent="0.3">
      <c r="A20" s="5"/>
      <c r="B20" s="12" t="s">
        <v>9</v>
      </c>
      <c r="C20" s="82" t="s">
        <v>46</v>
      </c>
      <c r="D20" s="137"/>
      <c r="E20" s="126"/>
      <c r="F20" s="141">
        <v>95.385999999999996</v>
      </c>
      <c r="G20" s="127">
        <f t="shared" si="1"/>
        <v>95.385999999999996</v>
      </c>
      <c r="H20" s="142">
        <v>0</v>
      </c>
      <c r="I20" s="118">
        <f t="shared" si="2"/>
        <v>95.385999999999996</v>
      </c>
      <c r="J20" s="139"/>
      <c r="K20" s="130"/>
      <c r="L20" s="143">
        <v>0</v>
      </c>
      <c r="M20" s="131">
        <f t="shared" si="0"/>
        <v>0</v>
      </c>
      <c r="N20" s="144"/>
      <c r="O20" s="124">
        <f t="shared" si="3"/>
        <v>0</v>
      </c>
      <c r="P20" s="137"/>
      <c r="Q20" s="126"/>
      <c r="R20" s="141">
        <v>83.8</v>
      </c>
      <c r="S20" s="127">
        <f t="shared" si="4"/>
        <v>83.8</v>
      </c>
      <c r="T20" s="142">
        <v>0</v>
      </c>
      <c r="U20" s="118">
        <f t="shared" si="5"/>
        <v>83.8</v>
      </c>
      <c r="V20" s="137"/>
      <c r="W20" s="126"/>
      <c r="X20" s="141">
        <v>50</v>
      </c>
      <c r="Y20" s="127">
        <f t="shared" si="6"/>
        <v>50</v>
      </c>
      <c r="Z20" s="142"/>
      <c r="AA20" s="118">
        <f t="shared" si="7"/>
        <v>50</v>
      </c>
      <c r="AB20" s="97" t="e">
        <f t="shared" si="8"/>
        <v>#DIV/0!</v>
      </c>
      <c r="AC20" s="4"/>
      <c r="AD20" s="4"/>
    </row>
    <row r="21" spans="1:30" x14ac:dyDescent="0.3">
      <c r="A21" s="5"/>
      <c r="B21" s="12" t="s">
        <v>11</v>
      </c>
      <c r="C21" s="21" t="s">
        <v>2</v>
      </c>
      <c r="D21" s="137"/>
      <c r="E21" s="126"/>
      <c r="F21" s="141">
        <f>66.069+95.848+374.294</f>
        <v>536.21100000000001</v>
      </c>
      <c r="G21" s="127">
        <f t="shared" si="1"/>
        <v>536.21100000000001</v>
      </c>
      <c r="H21" s="145">
        <v>0</v>
      </c>
      <c r="I21" s="118">
        <f>G21+H21</f>
        <v>536.21100000000001</v>
      </c>
      <c r="J21" s="139"/>
      <c r="K21" s="130"/>
      <c r="L21" s="143">
        <v>0</v>
      </c>
      <c r="M21" s="131">
        <f t="shared" si="0"/>
        <v>0</v>
      </c>
      <c r="N21" s="146"/>
      <c r="O21" s="124">
        <f>M21+N21</f>
        <v>0</v>
      </c>
      <c r="P21" s="137"/>
      <c r="Q21" s="126"/>
      <c r="R21" s="141">
        <f>254.7+13.5+43.8</f>
        <v>312</v>
      </c>
      <c r="S21" s="127">
        <f>SUM(P21:R21)</f>
        <v>312</v>
      </c>
      <c r="T21" s="145">
        <v>0</v>
      </c>
      <c r="U21" s="118">
        <f>S21+T21</f>
        <v>312</v>
      </c>
      <c r="V21" s="137"/>
      <c r="W21" s="126"/>
      <c r="X21" s="230"/>
      <c r="Y21" s="127">
        <f t="shared" si="6"/>
        <v>0</v>
      </c>
      <c r="Z21" s="145"/>
      <c r="AA21" s="118">
        <f>Y21+Z21</f>
        <v>0</v>
      </c>
      <c r="AB21" s="97" t="e">
        <f t="shared" si="8"/>
        <v>#DIV/0!</v>
      </c>
      <c r="AC21" s="4"/>
      <c r="AD21" s="4"/>
    </row>
    <row r="22" spans="1:30" x14ac:dyDescent="0.3">
      <c r="A22" s="5"/>
      <c r="B22" s="12" t="s">
        <v>13</v>
      </c>
      <c r="C22" s="21" t="s">
        <v>4</v>
      </c>
      <c r="D22" s="137"/>
      <c r="E22" s="126"/>
      <c r="F22" s="141">
        <v>0</v>
      </c>
      <c r="G22" s="127">
        <f t="shared" si="1"/>
        <v>0</v>
      </c>
      <c r="H22" s="145">
        <v>0</v>
      </c>
      <c r="I22" s="118">
        <f t="shared" si="2"/>
        <v>0</v>
      </c>
      <c r="J22" s="139"/>
      <c r="K22" s="130"/>
      <c r="L22" s="143">
        <v>0</v>
      </c>
      <c r="M22" s="131">
        <f t="shared" si="0"/>
        <v>0</v>
      </c>
      <c r="N22" s="146"/>
      <c r="O22" s="124">
        <f t="shared" ref="O22:O23" si="9">M22+N22</f>
        <v>0</v>
      </c>
      <c r="P22" s="137"/>
      <c r="Q22" s="126"/>
      <c r="R22" s="141">
        <v>0</v>
      </c>
      <c r="S22" s="127">
        <f t="shared" si="4"/>
        <v>0</v>
      </c>
      <c r="T22" s="145">
        <v>0</v>
      </c>
      <c r="U22" s="118">
        <f t="shared" ref="U22:U23" si="10">S22+T22</f>
        <v>0</v>
      </c>
      <c r="V22" s="137"/>
      <c r="W22" s="126"/>
      <c r="X22" s="141"/>
      <c r="Y22" s="127">
        <f t="shared" si="6"/>
        <v>0</v>
      </c>
      <c r="Z22" s="145"/>
      <c r="AA22" s="118">
        <f t="shared" ref="AA22:AA23" si="11">Y22+Z22</f>
        <v>0</v>
      </c>
      <c r="AB22" s="97" t="e">
        <f t="shared" si="8"/>
        <v>#DIV/0!</v>
      </c>
      <c r="AC22" s="4"/>
      <c r="AD22" s="4"/>
    </row>
    <row r="23" spans="1:30" ht="15" thickBot="1" x14ac:dyDescent="0.35">
      <c r="A23" s="5"/>
      <c r="B23" s="83" t="s">
        <v>15</v>
      </c>
      <c r="C23" s="84" t="s">
        <v>6</v>
      </c>
      <c r="D23" s="147"/>
      <c r="E23" s="148"/>
      <c r="F23" s="149">
        <v>0</v>
      </c>
      <c r="G23" s="150">
        <f t="shared" si="1"/>
        <v>0</v>
      </c>
      <c r="H23" s="151">
        <v>0</v>
      </c>
      <c r="I23" s="152">
        <f t="shared" si="2"/>
        <v>0</v>
      </c>
      <c r="J23" s="153"/>
      <c r="K23" s="154"/>
      <c r="L23" s="155">
        <v>0</v>
      </c>
      <c r="M23" s="156">
        <f t="shared" si="0"/>
        <v>0</v>
      </c>
      <c r="N23" s="157"/>
      <c r="O23" s="158">
        <f t="shared" si="9"/>
        <v>0</v>
      </c>
      <c r="P23" s="147"/>
      <c r="Q23" s="148"/>
      <c r="R23" s="149">
        <v>0</v>
      </c>
      <c r="S23" s="150">
        <f t="shared" si="4"/>
        <v>0</v>
      </c>
      <c r="T23" s="151">
        <v>0</v>
      </c>
      <c r="U23" s="152">
        <f t="shared" si="10"/>
        <v>0</v>
      </c>
      <c r="V23" s="147"/>
      <c r="W23" s="148"/>
      <c r="X23" s="149"/>
      <c r="Y23" s="150">
        <f t="shared" si="6"/>
        <v>0</v>
      </c>
      <c r="Z23" s="151"/>
      <c r="AA23" s="152">
        <f t="shared" si="11"/>
        <v>0</v>
      </c>
      <c r="AB23" s="98" t="e">
        <f t="shared" si="8"/>
        <v>#DIV/0!</v>
      </c>
      <c r="AC23" s="4"/>
      <c r="AD23" s="4"/>
    </row>
    <row r="24" spans="1:30" ht="15" thickBot="1" x14ac:dyDescent="0.35">
      <c r="A24" s="5"/>
      <c r="B24" s="14" t="s">
        <v>17</v>
      </c>
      <c r="C24" s="15" t="s">
        <v>8</v>
      </c>
      <c r="D24" s="159">
        <f>SUM(D15:D21)</f>
        <v>5947.8150000000005</v>
      </c>
      <c r="E24" s="160">
        <f>SUM(E15:E21)</f>
        <v>42226.947999999997</v>
      </c>
      <c r="F24" s="160">
        <f>SUM(F15:F21)</f>
        <v>4003.2129999999997</v>
      </c>
      <c r="G24" s="161">
        <f>SUM(D24:F24)</f>
        <v>52177.975999999995</v>
      </c>
      <c r="H24" s="162">
        <f>SUM(H15:H23)</f>
        <v>191.72</v>
      </c>
      <c r="I24" s="162">
        <f>SUM(I15:I21)</f>
        <v>52369.696000000004</v>
      </c>
      <c r="J24" s="163">
        <f>SUM(J15:J21)</f>
        <v>6410.6</v>
      </c>
      <c r="K24" s="164">
        <f>SUM(K15:K21)</f>
        <v>40078</v>
      </c>
      <c r="L24" s="164">
        <f>SUM(L15:L23)</f>
        <v>1000</v>
      </c>
      <c r="M24" s="165">
        <f>SUM(J24:L24)</f>
        <v>47488.6</v>
      </c>
      <c r="N24" s="166">
        <f>SUM(N15:N21)</f>
        <v>100</v>
      </c>
      <c r="O24" s="166">
        <f>SUM(O15:O21)</f>
        <v>47588.6</v>
      </c>
      <c r="P24" s="159">
        <f>SUM(P15:P21)</f>
        <v>3054.6</v>
      </c>
      <c r="Q24" s="160">
        <f>SUM(Q15:Q21)</f>
        <v>20179.536</v>
      </c>
      <c r="R24" s="160">
        <f>SUM(R15:R21)</f>
        <v>2450.2640000000001</v>
      </c>
      <c r="S24" s="161">
        <f>SUM(P24:R24)</f>
        <v>25684.399999999998</v>
      </c>
      <c r="T24" s="162">
        <f>SUM(T15:T23)</f>
        <v>95.7</v>
      </c>
      <c r="U24" s="162">
        <f>SUM(U15:U21)</f>
        <v>25780.1</v>
      </c>
      <c r="V24" s="159">
        <f>SUM(V15:V21)</f>
        <v>6718</v>
      </c>
      <c r="W24" s="160">
        <f>SUM(W15:W21)</f>
        <v>45398</v>
      </c>
      <c r="X24" s="160">
        <f>SUM(X15:X21)</f>
        <v>2550</v>
      </c>
      <c r="Y24" s="161">
        <f>SUM(V24:X24)</f>
        <v>54666</v>
      </c>
      <c r="Z24" s="162">
        <f>SUM(Z15:Z21)</f>
        <v>200</v>
      </c>
      <c r="AA24" s="162">
        <f>SUM(AA15:AA21)</f>
        <v>54866</v>
      </c>
      <c r="AB24" s="99">
        <f t="shared" si="8"/>
        <v>1.1529231790807042</v>
      </c>
      <c r="AC24" s="4"/>
      <c r="AD24" s="4"/>
    </row>
    <row r="25" spans="1:30" ht="15.75" customHeight="1" thickBot="1" x14ac:dyDescent="0.35">
      <c r="A25" s="5"/>
      <c r="B25" s="16"/>
      <c r="C25" s="17"/>
      <c r="D25" s="249" t="s">
        <v>67</v>
      </c>
      <c r="E25" s="250"/>
      <c r="F25" s="250"/>
      <c r="G25" s="251"/>
      <c r="H25" s="251"/>
      <c r="I25" s="252"/>
      <c r="J25" s="263" t="s">
        <v>67</v>
      </c>
      <c r="K25" s="264"/>
      <c r="L25" s="264"/>
      <c r="M25" s="265"/>
      <c r="N25" s="265"/>
      <c r="O25" s="266"/>
      <c r="P25" s="249" t="s">
        <v>67</v>
      </c>
      <c r="Q25" s="250"/>
      <c r="R25" s="250"/>
      <c r="S25" s="251"/>
      <c r="T25" s="251"/>
      <c r="U25" s="252"/>
      <c r="V25" s="249" t="s">
        <v>67</v>
      </c>
      <c r="W25" s="250"/>
      <c r="X25" s="250"/>
      <c r="Y25" s="251"/>
      <c r="Z25" s="251"/>
      <c r="AA25" s="252"/>
      <c r="AB25" s="290" t="s">
        <v>97</v>
      </c>
      <c r="AC25" s="4"/>
      <c r="AD25" s="4"/>
    </row>
    <row r="26" spans="1:30" ht="15" thickBot="1" x14ac:dyDescent="0.35">
      <c r="A26" s="5"/>
      <c r="B26" s="261" t="s">
        <v>36</v>
      </c>
      <c r="C26" s="282" t="s">
        <v>37</v>
      </c>
      <c r="D26" s="253" t="s">
        <v>105</v>
      </c>
      <c r="E26" s="254"/>
      <c r="F26" s="254"/>
      <c r="G26" s="243" t="s">
        <v>63</v>
      </c>
      <c r="H26" s="286" t="s">
        <v>66</v>
      </c>
      <c r="I26" s="288" t="s">
        <v>67</v>
      </c>
      <c r="J26" s="267" t="s">
        <v>105</v>
      </c>
      <c r="K26" s="268"/>
      <c r="L26" s="268"/>
      <c r="M26" s="269" t="s">
        <v>63</v>
      </c>
      <c r="N26" s="271" t="s">
        <v>66</v>
      </c>
      <c r="O26" s="273" t="s">
        <v>67</v>
      </c>
      <c r="P26" s="253" t="s">
        <v>105</v>
      </c>
      <c r="Q26" s="254"/>
      <c r="R26" s="254"/>
      <c r="S26" s="243" t="s">
        <v>63</v>
      </c>
      <c r="T26" s="286" t="s">
        <v>66</v>
      </c>
      <c r="U26" s="288" t="s">
        <v>67</v>
      </c>
      <c r="V26" s="253" t="s">
        <v>105</v>
      </c>
      <c r="W26" s="254"/>
      <c r="X26" s="254"/>
      <c r="Y26" s="243" t="s">
        <v>63</v>
      </c>
      <c r="Z26" s="286" t="s">
        <v>66</v>
      </c>
      <c r="AA26" s="288" t="s">
        <v>67</v>
      </c>
      <c r="AB26" s="291"/>
      <c r="AC26" s="4"/>
      <c r="AD26" s="4"/>
    </row>
    <row r="27" spans="1:30" ht="15" thickBot="1" x14ac:dyDescent="0.35">
      <c r="A27" s="5"/>
      <c r="B27" s="262"/>
      <c r="C27" s="283"/>
      <c r="D27" s="167" t="s">
        <v>53</v>
      </c>
      <c r="E27" s="168" t="s">
        <v>54</v>
      </c>
      <c r="F27" s="169" t="s">
        <v>55</v>
      </c>
      <c r="G27" s="244"/>
      <c r="H27" s="287"/>
      <c r="I27" s="289"/>
      <c r="J27" s="170" t="s">
        <v>53</v>
      </c>
      <c r="K27" s="171" t="s">
        <v>54</v>
      </c>
      <c r="L27" s="172" t="s">
        <v>55</v>
      </c>
      <c r="M27" s="270"/>
      <c r="N27" s="272"/>
      <c r="O27" s="274"/>
      <c r="P27" s="167" t="s">
        <v>53</v>
      </c>
      <c r="Q27" s="168" t="s">
        <v>54</v>
      </c>
      <c r="R27" s="169" t="s">
        <v>55</v>
      </c>
      <c r="S27" s="244"/>
      <c r="T27" s="287"/>
      <c r="U27" s="289"/>
      <c r="V27" s="167" t="s">
        <v>53</v>
      </c>
      <c r="W27" s="168" t="s">
        <v>54</v>
      </c>
      <c r="X27" s="169" t="s">
        <v>55</v>
      </c>
      <c r="Y27" s="244"/>
      <c r="Z27" s="287"/>
      <c r="AA27" s="289"/>
      <c r="AB27" s="292"/>
      <c r="AC27" s="4"/>
      <c r="AD27" s="4"/>
    </row>
    <row r="28" spans="1:30" x14ac:dyDescent="0.3">
      <c r="A28" s="5"/>
      <c r="B28" s="18" t="s">
        <v>19</v>
      </c>
      <c r="C28" s="19" t="s">
        <v>10</v>
      </c>
      <c r="D28" s="173">
        <v>1070.0119999999999</v>
      </c>
      <c r="E28" s="173">
        <v>0</v>
      </c>
      <c r="F28" s="173">
        <v>0</v>
      </c>
      <c r="G28" s="174">
        <f>SUM(D28:F28)</f>
        <v>1070.0119999999999</v>
      </c>
      <c r="H28" s="174">
        <v>0</v>
      </c>
      <c r="I28" s="175">
        <f>G28+H28</f>
        <v>1070.0119999999999</v>
      </c>
      <c r="J28" s="176">
        <v>240</v>
      </c>
      <c r="K28" s="177">
        <v>0</v>
      </c>
      <c r="L28" s="177">
        <v>0</v>
      </c>
      <c r="M28" s="178">
        <f>SUM(J28:L28)</f>
        <v>240</v>
      </c>
      <c r="N28" s="178">
        <v>0</v>
      </c>
      <c r="O28" s="179">
        <f>M28+N28</f>
        <v>240</v>
      </c>
      <c r="P28" s="180">
        <v>187.48699999999999</v>
      </c>
      <c r="Q28" s="173">
        <v>0</v>
      </c>
      <c r="R28" s="173">
        <v>0</v>
      </c>
      <c r="S28" s="227">
        <f>SUM(P28:R28)</f>
        <v>187.48699999999999</v>
      </c>
      <c r="T28" s="174">
        <v>0</v>
      </c>
      <c r="U28" s="175">
        <f>S28+T28</f>
        <v>187.48699999999999</v>
      </c>
      <c r="V28" s="180">
        <v>240</v>
      </c>
      <c r="W28" s="173">
        <v>0</v>
      </c>
      <c r="X28" s="173">
        <v>0</v>
      </c>
      <c r="Y28" s="174">
        <f>SUM(V28:X28)</f>
        <v>240</v>
      </c>
      <c r="Z28" s="174"/>
      <c r="AA28" s="175">
        <f>Y28+Z28</f>
        <v>240</v>
      </c>
      <c r="AB28" s="97">
        <f t="shared" ref="AB28:AB41" si="12">(AA28/O28)</f>
        <v>1</v>
      </c>
      <c r="AC28" s="4"/>
      <c r="AD28" s="4"/>
    </row>
    <row r="29" spans="1:30" x14ac:dyDescent="0.3">
      <c r="A29" s="5"/>
      <c r="B29" s="12" t="s">
        <v>20</v>
      </c>
      <c r="C29" s="20" t="s">
        <v>12</v>
      </c>
      <c r="D29" s="181">
        <f>37.787+10.958+131.066+8.454+134.664+0.557+30.502+37.207+10.231+12.232+91.921+3.507+262.589+4.132+12.714+2.709+27.344+5</f>
        <v>823.57399999999996</v>
      </c>
      <c r="E29" s="181">
        <f>357.295+25.999+75.141+85.776+8.89</f>
        <v>553.101</v>
      </c>
      <c r="F29" s="181">
        <f>24.571+35.638+0.446+0.883+48.241+2.995+2.865+28.286+22.217+2103.867</f>
        <v>2270.009</v>
      </c>
      <c r="G29" s="109">
        <f t="shared" ref="G29:G38" si="13">SUM(D29:F29)</f>
        <v>3646.6840000000002</v>
      </c>
      <c r="H29" s="182">
        <v>0</v>
      </c>
      <c r="I29" s="118">
        <f t="shared" ref="I29:I38" si="14">G29+H29</f>
        <v>3646.6840000000002</v>
      </c>
      <c r="J29" s="183">
        <v>835</v>
      </c>
      <c r="K29" s="184">
        <v>506.2</v>
      </c>
      <c r="L29" s="184">
        <v>965</v>
      </c>
      <c r="M29" s="185">
        <f t="shared" ref="M29:M38" si="15">SUM(J29:L29)</f>
        <v>2306.1999999999998</v>
      </c>
      <c r="N29" s="186">
        <v>10</v>
      </c>
      <c r="O29" s="124">
        <f t="shared" ref="O29:O32" si="16">M29+N29</f>
        <v>2316.1999999999998</v>
      </c>
      <c r="P29" s="187">
        <f>8.959+20.967+123.487+0.944+16.242+7.69+1.927+0.399+44.546+1.606+31.732+21.854+1.107+0.849+17.871+22.923+2.527+13.036+1397.33-0.02</f>
        <v>1735.9759999999999</v>
      </c>
      <c r="Q29" s="181">
        <f>36.105+47.127+1.453+8.76+10.401+154.873+37.499</f>
        <v>296.21800000000002</v>
      </c>
      <c r="R29" s="181">
        <f>12.358+8.826</f>
        <v>21.184000000000001</v>
      </c>
      <c r="S29" s="228">
        <f t="shared" ref="S29:S37" si="17">SUM(P29:R29)</f>
        <v>2053.3780000000002</v>
      </c>
      <c r="T29" s="182">
        <v>1.1000000000000001</v>
      </c>
      <c r="U29" s="118">
        <f t="shared" ref="U29:U38" si="18">S29+T29</f>
        <v>2054.4780000000001</v>
      </c>
      <c r="V29" s="187">
        <v>835</v>
      </c>
      <c r="W29" s="181">
        <f>270+69.75+16.6+35</f>
        <v>391.35</v>
      </c>
      <c r="X29" s="181">
        <f>1820+10</f>
        <v>1830</v>
      </c>
      <c r="Y29" s="109">
        <f t="shared" ref="Y29:Y38" si="19">SUM(V29:X29)</f>
        <v>3056.35</v>
      </c>
      <c r="Z29" s="182">
        <v>2</v>
      </c>
      <c r="AA29" s="118">
        <f t="shared" ref="AA29:AA38" si="20">Y29+Z29</f>
        <v>3058.35</v>
      </c>
      <c r="AB29" s="97">
        <f t="shared" si="12"/>
        <v>1.3204170624298421</v>
      </c>
      <c r="AC29" s="4"/>
      <c r="AD29" s="4"/>
    </row>
    <row r="30" spans="1:30" x14ac:dyDescent="0.3">
      <c r="A30" s="5"/>
      <c r="B30" s="12" t="s">
        <v>22</v>
      </c>
      <c r="C30" s="21" t="s">
        <v>14</v>
      </c>
      <c r="D30" s="188">
        <f>70.326+769.427+16.435+1053.151</f>
        <v>1909.3389999999999</v>
      </c>
      <c r="E30" s="188">
        <v>0</v>
      </c>
      <c r="F30" s="188">
        <v>0</v>
      </c>
      <c r="G30" s="109">
        <f t="shared" si="13"/>
        <v>1909.3389999999999</v>
      </c>
      <c r="H30" s="109">
        <v>32.326000000000001</v>
      </c>
      <c r="I30" s="118">
        <f t="shared" si="14"/>
        <v>1941.665</v>
      </c>
      <c r="J30" s="189">
        <v>2263</v>
      </c>
      <c r="K30" s="190">
        <v>0</v>
      </c>
      <c r="L30" s="190">
        <v>0</v>
      </c>
      <c r="M30" s="185">
        <f t="shared" si="15"/>
        <v>2263</v>
      </c>
      <c r="N30" s="185">
        <v>35</v>
      </c>
      <c r="O30" s="124">
        <f t="shared" si="16"/>
        <v>2298</v>
      </c>
      <c r="P30" s="191">
        <f>123.213+319.226+13.843+858.757</f>
        <v>1315.039</v>
      </c>
      <c r="Q30" s="188">
        <v>0</v>
      </c>
      <c r="R30" s="188">
        <v>0</v>
      </c>
      <c r="S30" s="228">
        <f t="shared" si="17"/>
        <v>1315.039</v>
      </c>
      <c r="T30" s="109">
        <v>11.259</v>
      </c>
      <c r="U30" s="118">
        <f t="shared" si="18"/>
        <v>1326.298</v>
      </c>
      <c r="V30" s="191">
        <v>2363</v>
      </c>
      <c r="W30" s="188">
        <v>0</v>
      </c>
      <c r="X30" s="188"/>
      <c r="Y30" s="109">
        <f t="shared" si="19"/>
        <v>2363</v>
      </c>
      <c r="Z30" s="109">
        <v>198</v>
      </c>
      <c r="AA30" s="118">
        <f t="shared" si="20"/>
        <v>2561</v>
      </c>
      <c r="AB30" s="97">
        <f t="shared" si="12"/>
        <v>1.1144473455178416</v>
      </c>
      <c r="AC30" s="4"/>
      <c r="AD30" s="4"/>
    </row>
    <row r="31" spans="1:30" x14ac:dyDescent="0.3">
      <c r="A31" s="5"/>
      <c r="B31" s="12" t="s">
        <v>24</v>
      </c>
      <c r="C31" s="21" t="s">
        <v>16</v>
      </c>
      <c r="D31" s="188">
        <f>3.133+18.467+4.179+156.391+134.41+15.56+94.034+11.616+143.433+0.653+0.005+14.4+1.686+157.367+45.563</f>
        <v>800.89699999999993</v>
      </c>
      <c r="E31" s="188">
        <f>37+28.376+83.047+162.325+100.021</f>
        <v>410.76900000000001</v>
      </c>
      <c r="F31" s="188">
        <f>8.74+37.035+6.156</f>
        <v>51.930999999999997</v>
      </c>
      <c r="G31" s="109">
        <f t="shared" si="13"/>
        <v>1263.597</v>
      </c>
      <c r="H31" s="109">
        <v>0</v>
      </c>
      <c r="I31" s="118">
        <f t="shared" si="14"/>
        <v>1263.597</v>
      </c>
      <c r="J31" s="189">
        <v>524.6</v>
      </c>
      <c r="K31" s="190">
        <v>40</v>
      </c>
      <c r="L31" s="190">
        <v>35</v>
      </c>
      <c r="M31" s="185">
        <f t="shared" si="15"/>
        <v>599.6</v>
      </c>
      <c r="N31" s="185">
        <v>0</v>
      </c>
      <c r="O31" s="124">
        <f>M31+N31</f>
        <v>599.6</v>
      </c>
      <c r="P31" s="191">
        <f>1.57+0.3+7.29+3.528+86.82+106.625+12.559+51.443+3.872+38.286+0.3+7.2+1.686+0.254-0.2</f>
        <v>321.53300000000002</v>
      </c>
      <c r="Q31" s="188">
        <f>9.66+2.2+5.082+120.09+0.72+265.064</f>
        <v>402.81600000000003</v>
      </c>
      <c r="R31" s="188">
        <f>12.877+25.912</f>
        <v>38.789000000000001</v>
      </c>
      <c r="S31" s="228">
        <f t="shared" si="17"/>
        <v>763.13800000000003</v>
      </c>
      <c r="T31" s="109">
        <v>0</v>
      </c>
      <c r="U31" s="118">
        <f t="shared" si="18"/>
        <v>763.13800000000003</v>
      </c>
      <c r="V31" s="191">
        <v>524.6</v>
      </c>
      <c r="W31" s="188">
        <f>61+509.4+266+32</f>
        <v>868.4</v>
      </c>
      <c r="X31" s="188">
        <f>80+40</f>
        <v>120</v>
      </c>
      <c r="Y31" s="109">
        <f t="shared" si="19"/>
        <v>1513</v>
      </c>
      <c r="Z31" s="109"/>
      <c r="AA31" s="118">
        <f t="shared" si="20"/>
        <v>1513</v>
      </c>
      <c r="AB31" s="97">
        <f t="shared" si="12"/>
        <v>2.5233488992661774</v>
      </c>
      <c r="AC31" s="4"/>
      <c r="AD31" s="4"/>
    </row>
    <row r="32" spans="1:30" x14ac:dyDescent="0.3">
      <c r="A32" s="5"/>
      <c r="B32" s="12" t="s">
        <v>26</v>
      </c>
      <c r="C32" s="21" t="s">
        <v>18</v>
      </c>
      <c r="D32" s="188">
        <f>D33+D34</f>
        <v>191.01999999999998</v>
      </c>
      <c r="E32" s="192">
        <f t="shared" ref="E32:L32" si="21">E33+E34</f>
        <v>29864.300999999999</v>
      </c>
      <c r="F32" s="188">
        <f t="shared" si="21"/>
        <v>0</v>
      </c>
      <c r="G32" s="188">
        <f t="shared" si="21"/>
        <v>30055.321</v>
      </c>
      <c r="H32" s="188">
        <f t="shared" si="21"/>
        <v>0</v>
      </c>
      <c r="I32" s="188">
        <f t="shared" si="21"/>
        <v>30055.321</v>
      </c>
      <c r="J32" s="189">
        <v>157.1</v>
      </c>
      <c r="K32" s="188">
        <f t="shared" si="21"/>
        <v>28642</v>
      </c>
      <c r="L32" s="188">
        <f t="shared" si="21"/>
        <v>0</v>
      </c>
      <c r="M32" s="185">
        <f>SUM(J32:L32)</f>
        <v>28799.1</v>
      </c>
      <c r="N32" s="185">
        <f>SUM(N33:N34)</f>
        <v>0</v>
      </c>
      <c r="O32" s="124">
        <f t="shared" si="16"/>
        <v>28799.1</v>
      </c>
      <c r="P32" s="193">
        <f>SUM(P33:P34)</f>
        <v>0</v>
      </c>
      <c r="Q32" s="188">
        <f>Q33+Q34</f>
        <v>14224.474</v>
      </c>
      <c r="R32" s="188">
        <f>R33+R34</f>
        <v>0</v>
      </c>
      <c r="S32" s="228">
        <f t="shared" si="17"/>
        <v>14224.474</v>
      </c>
      <c r="T32" s="109">
        <f>SUM(T33:T34)</f>
        <v>0</v>
      </c>
      <c r="U32" s="118">
        <f t="shared" si="18"/>
        <v>14224.474</v>
      </c>
      <c r="V32" s="193">
        <v>157.1</v>
      </c>
      <c r="W32" s="188">
        <f>SUM(W33:W34)</f>
        <v>32279.61</v>
      </c>
      <c r="X32" s="188"/>
      <c r="Y32" s="109">
        <f t="shared" si="19"/>
        <v>32436.71</v>
      </c>
      <c r="Z32" s="109"/>
      <c r="AA32" s="118">
        <f t="shared" si="20"/>
        <v>32436.71</v>
      </c>
      <c r="AB32" s="97">
        <f t="shared" si="12"/>
        <v>1.126309849960589</v>
      </c>
      <c r="AC32" s="4"/>
      <c r="AD32" s="4"/>
    </row>
    <row r="33" spans="1:30" x14ac:dyDescent="0.3">
      <c r="A33" s="5"/>
      <c r="B33" s="12" t="s">
        <v>28</v>
      </c>
      <c r="C33" s="22" t="s">
        <v>41</v>
      </c>
      <c r="D33" s="188">
        <f>102.115+31.905</f>
        <v>134.01999999999998</v>
      </c>
      <c r="E33" s="188">
        <f>22319.062+1481.329+287.405+4307.8+69.498+117.786+317.768+558.553</f>
        <v>29459.201000000001</v>
      </c>
      <c r="F33" s="188">
        <v>0</v>
      </c>
      <c r="G33" s="109">
        <f t="shared" si="13"/>
        <v>29593.221000000001</v>
      </c>
      <c r="H33" s="109">
        <v>0</v>
      </c>
      <c r="I33" s="118">
        <f t="shared" si="14"/>
        <v>29593.221000000001</v>
      </c>
      <c r="J33" s="189">
        <v>134</v>
      </c>
      <c r="K33" s="190">
        <v>28233.200000000001</v>
      </c>
      <c r="L33" s="190">
        <v>0</v>
      </c>
      <c r="M33" s="185">
        <f t="shared" si="15"/>
        <v>28367.200000000001</v>
      </c>
      <c r="N33" s="185">
        <v>0</v>
      </c>
      <c r="O33" s="124">
        <f>M33+N33</f>
        <v>28367.200000000001</v>
      </c>
      <c r="P33" s="193">
        <v>0</v>
      </c>
      <c r="Q33" s="188">
        <f>10333.728+897.048+71.778+1973.792+272.793+71.321+228.772+48.632</f>
        <v>13897.864</v>
      </c>
      <c r="R33" s="188">
        <v>0</v>
      </c>
      <c r="S33" s="228">
        <f t="shared" si="17"/>
        <v>13897.864</v>
      </c>
      <c r="T33" s="109">
        <v>0</v>
      </c>
      <c r="U33" s="118">
        <f t="shared" si="18"/>
        <v>13897.864</v>
      </c>
      <c r="V33" s="193">
        <v>134</v>
      </c>
      <c r="W33" s="188">
        <f>301.51+30783.7+456.4+550</f>
        <v>32091.61</v>
      </c>
      <c r="X33" s="188"/>
      <c r="Y33" s="109">
        <f t="shared" si="19"/>
        <v>32225.61</v>
      </c>
      <c r="Z33" s="109"/>
      <c r="AA33" s="118">
        <f t="shared" si="20"/>
        <v>32225.61</v>
      </c>
      <c r="AB33" s="97">
        <f t="shared" si="12"/>
        <v>1.1360165966327307</v>
      </c>
      <c r="AC33" s="4"/>
      <c r="AD33" s="4"/>
    </row>
    <row r="34" spans="1:30" x14ac:dyDescent="0.3">
      <c r="A34" s="5"/>
      <c r="B34" s="12" t="s">
        <v>29</v>
      </c>
      <c r="C34" s="23" t="s">
        <v>21</v>
      </c>
      <c r="D34" s="194">
        <v>57</v>
      </c>
      <c r="E34" s="188">
        <f>50.2+8.8+26.8+319.3</f>
        <v>405.1</v>
      </c>
      <c r="F34" s="188">
        <v>0</v>
      </c>
      <c r="G34" s="109">
        <f t="shared" si="13"/>
        <v>462.1</v>
      </c>
      <c r="H34" s="109">
        <v>0</v>
      </c>
      <c r="I34" s="118">
        <f t="shared" si="14"/>
        <v>462.1</v>
      </c>
      <c r="J34" s="189">
        <v>23.1</v>
      </c>
      <c r="K34" s="190">
        <v>408.8</v>
      </c>
      <c r="L34" s="190">
        <v>0</v>
      </c>
      <c r="M34" s="185">
        <f>SUM(J34:L34)</f>
        <v>431.90000000000003</v>
      </c>
      <c r="N34" s="185">
        <v>0</v>
      </c>
      <c r="O34" s="124">
        <f>M34+N34</f>
        <v>431.90000000000003</v>
      </c>
      <c r="P34" s="193">
        <v>0</v>
      </c>
      <c r="Q34" s="188">
        <f>26+19.41+40.8+240.4</f>
        <v>326.61</v>
      </c>
      <c r="R34" s="188">
        <v>0</v>
      </c>
      <c r="S34" s="228">
        <f t="shared" si="17"/>
        <v>326.61</v>
      </c>
      <c r="T34" s="109">
        <v>0</v>
      </c>
      <c r="U34" s="118">
        <f t="shared" si="18"/>
        <v>326.61</v>
      </c>
      <c r="V34" s="193">
        <v>23.1</v>
      </c>
      <c r="W34" s="188">
        <f>100+8+80</f>
        <v>188</v>
      </c>
      <c r="X34" s="188"/>
      <c r="Y34" s="109">
        <f t="shared" si="19"/>
        <v>211.1</v>
      </c>
      <c r="Z34" s="109"/>
      <c r="AA34" s="118">
        <f t="shared" si="20"/>
        <v>211.1</v>
      </c>
      <c r="AB34" s="97">
        <f t="shared" si="12"/>
        <v>0.4887705487381338</v>
      </c>
      <c r="AC34" s="4"/>
      <c r="AD34" s="4"/>
    </row>
    <row r="35" spans="1:30" x14ac:dyDescent="0.3">
      <c r="A35" s="5"/>
      <c r="B35" s="12" t="s">
        <v>31</v>
      </c>
      <c r="C35" s="21" t="s">
        <v>23</v>
      </c>
      <c r="D35" s="194">
        <f>33.237+12.062</f>
        <v>45.298999999999999</v>
      </c>
      <c r="E35" s="188">
        <f>6933+2530.5+29.215+10.598+218.818+79.5</f>
        <v>9801.6309999999994</v>
      </c>
      <c r="F35" s="188">
        <v>0</v>
      </c>
      <c r="G35" s="109">
        <f t="shared" si="13"/>
        <v>9846.93</v>
      </c>
      <c r="H35" s="109">
        <v>0</v>
      </c>
      <c r="I35" s="118">
        <f t="shared" si="14"/>
        <v>9846.93</v>
      </c>
      <c r="J35" s="189">
        <v>45.3</v>
      </c>
      <c r="K35" s="190">
        <v>9475.2000000000007</v>
      </c>
      <c r="L35" s="190">
        <v>0</v>
      </c>
      <c r="M35" s="185">
        <f t="shared" si="15"/>
        <v>9520.5</v>
      </c>
      <c r="N35" s="185">
        <v>0</v>
      </c>
      <c r="O35" s="124">
        <f>M35+N35</f>
        <v>9520.5</v>
      </c>
      <c r="P35" s="193">
        <v>0</v>
      </c>
      <c r="Q35" s="188">
        <v>4674.576</v>
      </c>
      <c r="R35" s="188">
        <v>0</v>
      </c>
      <c r="S35" s="228">
        <f t="shared" si="17"/>
        <v>4674.576</v>
      </c>
      <c r="T35" s="109">
        <v>0</v>
      </c>
      <c r="U35" s="118">
        <f t="shared" si="18"/>
        <v>4674.576</v>
      </c>
      <c r="V35" s="193">
        <v>45.3</v>
      </c>
      <c r="W35" s="188">
        <f>10438.7+154.2+185</f>
        <v>10777.900000000001</v>
      </c>
      <c r="X35" s="188"/>
      <c r="Y35" s="109">
        <f t="shared" si="19"/>
        <v>10823.2</v>
      </c>
      <c r="Z35" s="109"/>
      <c r="AA35" s="118">
        <f t="shared" si="20"/>
        <v>10823.2</v>
      </c>
      <c r="AB35" s="97">
        <f t="shared" si="12"/>
        <v>1.1368310487894544</v>
      </c>
      <c r="AC35" s="4"/>
      <c r="AD35" s="4"/>
    </row>
    <row r="36" spans="1:30" x14ac:dyDescent="0.3">
      <c r="A36" s="5"/>
      <c r="B36" s="12" t="s">
        <v>32</v>
      </c>
      <c r="C36" s="21" t="s">
        <v>25</v>
      </c>
      <c r="D36" s="188">
        <v>0</v>
      </c>
      <c r="E36" s="188">
        <v>0</v>
      </c>
      <c r="F36" s="188">
        <v>0</v>
      </c>
      <c r="G36" s="109">
        <f t="shared" si="13"/>
        <v>0</v>
      </c>
      <c r="H36" s="109">
        <v>0</v>
      </c>
      <c r="I36" s="118">
        <f t="shared" si="14"/>
        <v>0</v>
      </c>
      <c r="J36" s="189">
        <v>4</v>
      </c>
      <c r="K36" s="190">
        <v>0</v>
      </c>
      <c r="L36" s="190">
        <v>0</v>
      </c>
      <c r="M36" s="185">
        <f t="shared" si="15"/>
        <v>4</v>
      </c>
      <c r="N36" s="185">
        <v>0</v>
      </c>
      <c r="O36" s="124">
        <f>M36+N36</f>
        <v>4</v>
      </c>
      <c r="P36" s="191">
        <v>0</v>
      </c>
      <c r="Q36" s="188">
        <v>0</v>
      </c>
      <c r="R36" s="188">
        <v>0</v>
      </c>
      <c r="S36" s="228">
        <f t="shared" si="17"/>
        <v>0</v>
      </c>
      <c r="T36" s="109">
        <v>0</v>
      </c>
      <c r="U36" s="118">
        <f t="shared" si="18"/>
        <v>0</v>
      </c>
      <c r="V36" s="191">
        <v>4</v>
      </c>
      <c r="W36" s="188">
        <v>0</v>
      </c>
      <c r="X36" s="188"/>
      <c r="Y36" s="109">
        <f t="shared" si="19"/>
        <v>4</v>
      </c>
      <c r="Z36" s="109"/>
      <c r="AA36" s="118">
        <f t="shared" si="20"/>
        <v>4</v>
      </c>
      <c r="AB36" s="97">
        <f t="shared" si="12"/>
        <v>1</v>
      </c>
      <c r="AC36" s="4"/>
      <c r="AD36" s="4"/>
    </row>
    <row r="37" spans="1:30" x14ac:dyDescent="0.3">
      <c r="A37" s="5"/>
      <c r="B37" s="12" t="s">
        <v>33</v>
      </c>
      <c r="C37" s="21" t="s">
        <v>27</v>
      </c>
      <c r="D37" s="188">
        <v>1894.73</v>
      </c>
      <c r="E37" s="188">
        <v>0</v>
      </c>
      <c r="F37" s="188">
        <v>0</v>
      </c>
      <c r="G37" s="109">
        <f t="shared" si="13"/>
        <v>1894.73</v>
      </c>
      <c r="H37" s="109">
        <v>0</v>
      </c>
      <c r="I37" s="118">
        <f t="shared" si="14"/>
        <v>1894.73</v>
      </c>
      <c r="J37" s="189">
        <v>1864</v>
      </c>
      <c r="K37" s="190">
        <v>0</v>
      </c>
      <c r="L37" s="190">
        <v>0</v>
      </c>
      <c r="M37" s="185">
        <f t="shared" si="15"/>
        <v>1864</v>
      </c>
      <c r="N37" s="185">
        <v>0</v>
      </c>
      <c r="O37" s="124">
        <f t="shared" ref="O37" si="22">M37+N37</f>
        <v>1864</v>
      </c>
      <c r="P37" s="191">
        <v>928.94799999999998</v>
      </c>
      <c r="Q37" s="188">
        <v>0</v>
      </c>
      <c r="R37" s="188">
        <v>0</v>
      </c>
      <c r="S37" s="228">
        <f t="shared" si="17"/>
        <v>928.94799999999998</v>
      </c>
      <c r="T37" s="109">
        <v>0</v>
      </c>
      <c r="U37" s="118">
        <f t="shared" si="18"/>
        <v>928.94799999999998</v>
      </c>
      <c r="V37" s="191">
        <v>1864</v>
      </c>
      <c r="W37" s="188">
        <v>0</v>
      </c>
      <c r="X37" s="188">
        <v>500</v>
      </c>
      <c r="Y37" s="109">
        <f t="shared" si="19"/>
        <v>2364</v>
      </c>
      <c r="Z37" s="109"/>
      <c r="AA37" s="118">
        <f t="shared" si="20"/>
        <v>2364</v>
      </c>
      <c r="AB37" s="97">
        <f t="shared" si="12"/>
        <v>1.2682403433476395</v>
      </c>
      <c r="AC37" s="4"/>
      <c r="AD37" s="4"/>
    </row>
    <row r="38" spans="1:30" ht="15" thickBot="1" x14ac:dyDescent="0.35">
      <c r="A38" s="5"/>
      <c r="B38" s="13" t="s">
        <v>34</v>
      </c>
      <c r="C38" s="54" t="s">
        <v>104</v>
      </c>
      <c r="D38" s="195">
        <f>27.357+2.488+2.681+77.833+15.419+6.589+14.15+6.004+29.507+4.7+0.4+125.6+100.972+105.269+38.114+10.38+71.115</f>
        <v>638.57799999999997</v>
      </c>
      <c r="E38" s="195">
        <f>3.656+113.249+570.547+23.8+17.834+15.709+682.127+122.497+114.1</f>
        <v>1663.5189999999998</v>
      </c>
      <c r="F38" s="195">
        <f>73.892+9.55</f>
        <v>83.441999999999993</v>
      </c>
      <c r="G38" s="109">
        <f t="shared" si="13"/>
        <v>2385.5389999999998</v>
      </c>
      <c r="H38" s="110">
        <v>0</v>
      </c>
      <c r="I38" s="152">
        <f t="shared" si="14"/>
        <v>2385.5389999999998</v>
      </c>
      <c r="J38" s="196">
        <v>477.6</v>
      </c>
      <c r="K38" s="197">
        <v>1414.6</v>
      </c>
      <c r="L38" s="197">
        <v>0</v>
      </c>
      <c r="M38" s="198">
        <f t="shared" si="15"/>
        <v>1892.1999999999998</v>
      </c>
      <c r="N38" s="198">
        <v>55</v>
      </c>
      <c r="O38" s="158">
        <f>M38+N38</f>
        <v>1947.1999999999998</v>
      </c>
      <c r="P38" s="199">
        <f>41.899+2.757+0.55+4.961+1.2+1.038+6.256+20.066+4.233+0.4+15.6+5.13+0.15</f>
        <v>104.24</v>
      </c>
      <c r="Q38" s="195">
        <f>75.099+267.153+5.455+20.75+0.63+5.348+112.03+4.377+59.738+8.546</f>
        <v>559.12600000000009</v>
      </c>
      <c r="R38" s="195">
        <v>48.396999999999998</v>
      </c>
      <c r="S38" s="110">
        <f>SUM(P38:R38)</f>
        <v>711.76300000000015</v>
      </c>
      <c r="T38" s="110">
        <v>0</v>
      </c>
      <c r="U38" s="152">
        <f t="shared" si="18"/>
        <v>711.76300000000015</v>
      </c>
      <c r="V38" s="199">
        <v>685</v>
      </c>
      <c r="W38" s="195">
        <f>15+15+150+615.7+233+52</f>
        <v>1080.7</v>
      </c>
      <c r="X38" s="195">
        <v>100</v>
      </c>
      <c r="Y38" s="110">
        <f t="shared" si="19"/>
        <v>1865.7</v>
      </c>
      <c r="Z38" s="110"/>
      <c r="AA38" s="152">
        <f t="shared" si="20"/>
        <v>1865.7</v>
      </c>
      <c r="AB38" s="98">
        <f t="shared" si="12"/>
        <v>0.95814502875924412</v>
      </c>
      <c r="AC38" s="4"/>
      <c r="AD38" s="4"/>
    </row>
    <row r="39" spans="1:30" ht="15" thickBot="1" x14ac:dyDescent="0.35">
      <c r="A39" s="5"/>
      <c r="B39" s="14" t="s">
        <v>47</v>
      </c>
      <c r="C39" s="55" t="s">
        <v>30</v>
      </c>
      <c r="D39" s="200">
        <f>SUM(D35:D38)+SUM(D28:D32)</f>
        <v>7373.4490000000005</v>
      </c>
      <c r="E39" s="200">
        <f>SUM(E35:E38)+SUM(E28:E32)</f>
        <v>42293.320999999996</v>
      </c>
      <c r="F39" s="200">
        <f>SUM(F35:F38)+SUM(F28:F32)</f>
        <v>2405.3820000000001</v>
      </c>
      <c r="G39" s="201">
        <f>SUM(D39:F39)</f>
        <v>52072.151999999995</v>
      </c>
      <c r="H39" s="202">
        <f>SUM(H28:H32)+SUM(H35:H38)</f>
        <v>32.326000000000001</v>
      </c>
      <c r="I39" s="203">
        <f>SUM(I35:I38)+SUM(I28:I32)</f>
        <v>52104.478000000003</v>
      </c>
      <c r="J39" s="204">
        <f>SUM(J35:J38)+SUM(J28:J32)</f>
        <v>6410.6</v>
      </c>
      <c r="K39" s="204">
        <f>SUM(K35:K38)+SUM(K28:K32)</f>
        <v>40078</v>
      </c>
      <c r="L39" s="204">
        <f>SUM(L35:L38)+SUM(L28:L32)</f>
        <v>1000</v>
      </c>
      <c r="M39" s="205">
        <f>SUM(J39:L39)</f>
        <v>47488.6</v>
      </c>
      <c r="N39" s="206">
        <f>SUM(N28:N32)+SUM(N35:N38)</f>
        <v>100</v>
      </c>
      <c r="O39" s="203">
        <f>SUM(O35:O38)+SUM(O28:O32)</f>
        <v>47588.600000000006</v>
      </c>
      <c r="P39" s="200">
        <f>SUM(P35:P38)+SUM(P28:P32)</f>
        <v>4593.223</v>
      </c>
      <c r="Q39" s="200">
        <f>SUM(Q35:Q38)+SUM(Q28:Q32)</f>
        <v>20157.21</v>
      </c>
      <c r="R39" s="200">
        <f>SUM(R35:R38)+SUM(R28:R32)</f>
        <v>108.37</v>
      </c>
      <c r="S39" s="201">
        <f>SUM(P39:R39)</f>
        <v>24858.802999999996</v>
      </c>
      <c r="T39" s="202">
        <f>SUM(T28:T32)+SUM(T35:T38)</f>
        <v>12.359</v>
      </c>
      <c r="U39" s="203">
        <f>SUM(U35:U38)+SUM(U28:U32)</f>
        <v>24871.162</v>
      </c>
      <c r="V39" s="24">
        <f>SUM(V35:V38)+SUM(V28:V32)</f>
        <v>6718</v>
      </c>
      <c r="W39" s="24">
        <f>SUM(W35:W38)+SUM(W28:W32)</f>
        <v>45397.960000000006</v>
      </c>
      <c r="X39" s="24">
        <f>SUM(X35:X38)+SUM(X28:X32)</f>
        <v>2550</v>
      </c>
      <c r="Y39" s="96">
        <f>SUM(V39:X39)</f>
        <v>54665.960000000006</v>
      </c>
      <c r="Z39" s="25">
        <f>SUM(Z28:Z32)+SUM(Z35:Z38)</f>
        <v>200</v>
      </c>
      <c r="AA39" s="26">
        <f>SUM(AA35:AA38)+SUM(AA28:AA32)</f>
        <v>54865.96</v>
      </c>
      <c r="AB39" s="100">
        <f t="shared" si="12"/>
        <v>1.1529223385432643</v>
      </c>
      <c r="AC39" s="4"/>
      <c r="AD39" s="4"/>
    </row>
    <row r="40" spans="1:30" ht="18.600000000000001" thickBot="1" x14ac:dyDescent="0.4">
      <c r="A40" s="5"/>
      <c r="B40" s="59" t="s">
        <v>48</v>
      </c>
      <c r="C40" s="60" t="s">
        <v>50</v>
      </c>
      <c r="D40" s="61">
        <f t="shared" ref="D40:N40" si="23">D24-D39</f>
        <v>-1425.634</v>
      </c>
      <c r="E40" s="61">
        <f t="shared" si="23"/>
        <v>-66.372999999999593</v>
      </c>
      <c r="F40" s="61">
        <f t="shared" si="23"/>
        <v>1597.8309999999997</v>
      </c>
      <c r="G40" s="70">
        <f t="shared" si="23"/>
        <v>105.82400000000052</v>
      </c>
      <c r="H40" s="70">
        <f t="shared" si="23"/>
        <v>159.39400000000001</v>
      </c>
      <c r="I40" s="71">
        <f>I24-I39</f>
        <v>265.21800000000076</v>
      </c>
      <c r="J40" s="61">
        <f t="shared" si="23"/>
        <v>0</v>
      </c>
      <c r="K40" s="61">
        <f t="shared" si="23"/>
        <v>0</v>
      </c>
      <c r="L40" s="61">
        <f t="shared" si="23"/>
        <v>0</v>
      </c>
      <c r="M40" s="108">
        <f t="shared" si="23"/>
        <v>0</v>
      </c>
      <c r="N40" s="108">
        <f t="shared" si="23"/>
        <v>0</v>
      </c>
      <c r="O40" s="71">
        <f>O24-O39</f>
        <v>0</v>
      </c>
      <c r="P40" s="61">
        <f t="shared" ref="P40:U40" si="24">P24-P39</f>
        <v>-1538.623</v>
      </c>
      <c r="Q40" s="61">
        <f t="shared" si="24"/>
        <v>22.326000000000931</v>
      </c>
      <c r="R40" s="61">
        <f t="shared" si="24"/>
        <v>2341.8940000000002</v>
      </c>
      <c r="S40" s="70">
        <f>S24-S39</f>
        <v>825.59700000000157</v>
      </c>
      <c r="T40" s="70">
        <f t="shared" si="24"/>
        <v>83.341000000000008</v>
      </c>
      <c r="U40" s="71">
        <f t="shared" si="24"/>
        <v>908.93799999999828</v>
      </c>
      <c r="V40" s="61">
        <f t="shared" ref="V40:AA40" si="25">V24-V39</f>
        <v>0</v>
      </c>
      <c r="W40" s="61">
        <f t="shared" si="25"/>
        <v>3.9999999993597157E-2</v>
      </c>
      <c r="X40" s="61">
        <f t="shared" si="25"/>
        <v>0</v>
      </c>
      <c r="Y40" s="70">
        <f t="shared" si="25"/>
        <v>3.9999999993597157E-2</v>
      </c>
      <c r="Z40" s="70">
        <f t="shared" si="25"/>
        <v>0</v>
      </c>
      <c r="AA40" s="71">
        <f t="shared" si="25"/>
        <v>4.0000000000873115E-2</v>
      </c>
      <c r="AB40" s="101" t="e">
        <f t="shared" si="12"/>
        <v>#DIV/0!</v>
      </c>
      <c r="AC40" s="4"/>
      <c r="AD40" s="4"/>
    </row>
    <row r="41" spans="1:30" ht="15" thickBot="1" x14ac:dyDescent="0.35">
      <c r="A41" s="5"/>
      <c r="B41" s="62" t="s">
        <v>49</v>
      </c>
      <c r="C41" s="63" t="s">
        <v>64</v>
      </c>
      <c r="D41" s="64"/>
      <c r="E41" s="65"/>
      <c r="F41" s="65"/>
      <c r="G41" s="66"/>
      <c r="H41" s="67"/>
      <c r="I41" s="68">
        <f>I40-D16</f>
        <v>-4787.7819999999992</v>
      </c>
      <c r="J41" s="64"/>
      <c r="K41" s="65"/>
      <c r="L41" s="65"/>
      <c r="M41" s="66"/>
      <c r="N41" s="69"/>
      <c r="O41" s="68">
        <f>O40-J16</f>
        <v>-6109</v>
      </c>
      <c r="P41" s="64"/>
      <c r="Q41" s="65"/>
      <c r="R41" s="65"/>
      <c r="S41" s="66"/>
      <c r="T41" s="69"/>
      <c r="U41" s="68">
        <f>U40-P16</f>
        <v>-2145.6620000000016</v>
      </c>
      <c r="V41" s="64"/>
      <c r="W41" s="65"/>
      <c r="X41" s="65"/>
      <c r="Y41" s="66"/>
      <c r="Z41" s="69"/>
      <c r="AA41" s="68">
        <f>AA40-V16</f>
        <v>-6208.9599999999991</v>
      </c>
      <c r="AB41" s="97">
        <f t="shared" si="12"/>
        <v>1.0163627434932065</v>
      </c>
      <c r="AC41" s="4"/>
      <c r="AD41" s="4"/>
    </row>
    <row r="42" spans="1:30" s="74" customFormat="1" ht="8.25" customHeight="1" thickBot="1" x14ac:dyDescent="0.35">
      <c r="A42" s="40"/>
      <c r="B42" s="41"/>
      <c r="C42" s="30"/>
      <c r="D42" s="42"/>
      <c r="E42" s="31"/>
      <c r="F42" s="31"/>
      <c r="G42" s="40"/>
      <c r="H42" s="31"/>
      <c r="I42" s="31"/>
      <c r="J42" s="42"/>
      <c r="K42" s="31"/>
      <c r="L42" s="31"/>
      <c r="M42" s="40"/>
      <c r="N42" s="31"/>
      <c r="O42" s="31"/>
      <c r="P42" s="31"/>
      <c r="Q42" s="31"/>
      <c r="R42" s="31"/>
      <c r="S42" s="31"/>
      <c r="T42" s="31"/>
      <c r="U42" s="31"/>
      <c r="V42" s="43"/>
      <c r="W42" s="43"/>
      <c r="X42" s="43"/>
      <c r="Y42" s="43"/>
      <c r="Z42" s="43"/>
      <c r="AA42" s="43"/>
      <c r="AB42" s="43"/>
      <c r="AC42" s="43"/>
      <c r="AD42" s="43"/>
    </row>
    <row r="43" spans="1:30" s="74" customFormat="1" ht="15.75" customHeight="1" thickBot="1" x14ac:dyDescent="0.35">
      <c r="A43" s="40"/>
      <c r="B43" s="45"/>
      <c r="C43" s="279" t="s">
        <v>81</v>
      </c>
      <c r="D43" s="207" t="s">
        <v>40</v>
      </c>
      <c r="E43" s="208" t="s">
        <v>82</v>
      </c>
      <c r="F43" s="209" t="s">
        <v>35</v>
      </c>
      <c r="G43" s="210"/>
      <c r="H43" s="210"/>
      <c r="I43" s="211"/>
      <c r="J43" s="207" t="s">
        <v>40</v>
      </c>
      <c r="K43" s="208" t="s">
        <v>82</v>
      </c>
      <c r="L43" s="209" t="s">
        <v>35</v>
      </c>
      <c r="M43" s="210"/>
      <c r="N43" s="210"/>
      <c r="O43" s="210"/>
      <c r="P43" s="207" t="s">
        <v>40</v>
      </c>
      <c r="Q43" s="208" t="s">
        <v>82</v>
      </c>
      <c r="R43" s="209" t="s">
        <v>35</v>
      </c>
      <c r="S43" s="212"/>
      <c r="T43" s="212"/>
      <c r="U43" s="212"/>
      <c r="V43" s="58" t="s">
        <v>40</v>
      </c>
      <c r="W43" s="27" t="s">
        <v>82</v>
      </c>
      <c r="X43" s="28" t="s">
        <v>35</v>
      </c>
      <c r="Y43" s="43"/>
      <c r="Z43" s="43"/>
      <c r="AA43" s="43"/>
      <c r="AB43" s="43"/>
      <c r="AC43" s="43"/>
      <c r="AD43" s="43"/>
    </row>
    <row r="44" spans="1:30" ht="15" thickBot="1" x14ac:dyDescent="0.35">
      <c r="A44" s="5"/>
      <c r="B44" s="45"/>
      <c r="C44" s="280"/>
      <c r="D44" s="213">
        <f>SUM(E44:F44)</f>
        <v>427.9</v>
      </c>
      <c r="E44" s="214">
        <v>427.9</v>
      </c>
      <c r="F44" s="215">
        <v>0</v>
      </c>
      <c r="G44" s="210"/>
      <c r="H44" s="210"/>
      <c r="I44" s="211"/>
      <c r="J44" s="213">
        <v>427.9</v>
      </c>
      <c r="K44" s="214">
        <v>427.9</v>
      </c>
      <c r="L44" s="215">
        <v>0</v>
      </c>
      <c r="M44" s="216"/>
      <c r="N44" s="216"/>
      <c r="O44" s="216"/>
      <c r="P44" s="213">
        <f>SUM(Q44:R44)</f>
        <v>213.3</v>
      </c>
      <c r="Q44" s="214">
        <v>213.3</v>
      </c>
      <c r="R44" s="215">
        <v>0</v>
      </c>
      <c r="S44" s="217"/>
      <c r="T44" s="217"/>
      <c r="U44" s="217"/>
      <c r="V44" s="46">
        <f>SUM(W44:X44)</f>
        <v>427.9</v>
      </c>
      <c r="W44" s="56">
        <v>427.9</v>
      </c>
      <c r="X44" s="57">
        <v>0</v>
      </c>
      <c r="Y44" s="4"/>
      <c r="Z44" s="4"/>
      <c r="AA44" s="4"/>
      <c r="AB44" s="4"/>
      <c r="AC44" s="4"/>
      <c r="AD44" s="4"/>
    </row>
    <row r="45" spans="1:30" s="74" customFormat="1" ht="20.399999999999999" customHeight="1" thickBot="1" x14ac:dyDescent="0.35">
      <c r="A45" s="40"/>
      <c r="B45" s="45"/>
      <c r="C45" s="30"/>
      <c r="D45" s="216"/>
      <c r="E45" s="210"/>
      <c r="F45" s="210"/>
      <c r="G45" s="210"/>
      <c r="H45" s="210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43"/>
      <c r="W45" s="43"/>
      <c r="X45" s="43"/>
      <c r="Y45" s="43"/>
      <c r="Z45" s="43"/>
      <c r="AA45" s="43"/>
      <c r="AB45" s="43"/>
      <c r="AC45" s="43"/>
      <c r="AD45" s="43"/>
    </row>
    <row r="46" spans="1:30" s="74" customFormat="1" ht="37.5" customHeight="1" thickBot="1" x14ac:dyDescent="0.35">
      <c r="A46" s="40"/>
      <c r="B46" s="45"/>
      <c r="C46" s="279" t="s">
        <v>84</v>
      </c>
      <c r="D46" s="218" t="s">
        <v>85</v>
      </c>
      <c r="E46" s="219" t="s">
        <v>83</v>
      </c>
      <c r="F46" s="210"/>
      <c r="G46" s="210"/>
      <c r="H46" s="210"/>
      <c r="I46" s="211"/>
      <c r="J46" s="218" t="s">
        <v>85</v>
      </c>
      <c r="K46" s="219" t="s">
        <v>83</v>
      </c>
      <c r="L46" s="220"/>
      <c r="M46" s="220"/>
      <c r="N46" s="212"/>
      <c r="O46" s="212"/>
      <c r="P46" s="218" t="s">
        <v>85</v>
      </c>
      <c r="Q46" s="219" t="s">
        <v>83</v>
      </c>
      <c r="R46" s="212"/>
      <c r="S46" s="212"/>
      <c r="T46" s="212"/>
      <c r="U46" s="212"/>
      <c r="V46" s="47" t="s">
        <v>85</v>
      </c>
      <c r="W46" s="48" t="s">
        <v>83</v>
      </c>
      <c r="X46" s="43"/>
      <c r="Y46" s="43"/>
      <c r="Z46" s="43"/>
      <c r="AA46" s="43"/>
      <c r="AB46" s="43"/>
      <c r="AC46" s="43"/>
      <c r="AD46" s="43"/>
    </row>
    <row r="47" spans="1:30" ht="15" thickBot="1" x14ac:dyDescent="0.35">
      <c r="A47" s="5"/>
      <c r="B47" s="29"/>
      <c r="C47" s="281"/>
      <c r="D47" s="213">
        <v>0</v>
      </c>
      <c r="E47" s="221">
        <v>0</v>
      </c>
      <c r="F47" s="210"/>
      <c r="G47" s="210"/>
      <c r="H47" s="210"/>
      <c r="I47" s="211"/>
      <c r="J47" s="213">
        <v>0</v>
      </c>
      <c r="K47" s="221">
        <v>0</v>
      </c>
      <c r="L47" s="222"/>
      <c r="M47" s="222"/>
      <c r="N47" s="217"/>
      <c r="O47" s="217"/>
      <c r="P47" s="213">
        <v>0</v>
      </c>
      <c r="Q47" s="221">
        <v>0</v>
      </c>
      <c r="R47" s="217"/>
      <c r="S47" s="217"/>
      <c r="T47" s="217"/>
      <c r="U47" s="217"/>
      <c r="V47" s="46">
        <v>0</v>
      </c>
      <c r="W47" s="49">
        <v>0</v>
      </c>
      <c r="X47" s="4"/>
      <c r="Y47" s="4"/>
      <c r="Z47" s="4"/>
      <c r="AA47" s="4"/>
      <c r="AB47" s="4"/>
      <c r="AC47" s="4"/>
      <c r="AD47" s="4"/>
    </row>
    <row r="48" spans="1:30" x14ac:dyDescent="0.3">
      <c r="A48" s="5"/>
      <c r="B48" s="29"/>
      <c r="C48" s="30"/>
      <c r="D48" s="210"/>
      <c r="E48" s="210"/>
      <c r="F48" s="210"/>
      <c r="G48" s="210"/>
      <c r="H48" s="210"/>
      <c r="I48" s="211"/>
      <c r="J48" s="210"/>
      <c r="K48" s="210"/>
      <c r="L48" s="210"/>
      <c r="M48" s="210"/>
      <c r="N48" s="210"/>
      <c r="O48" s="211"/>
      <c r="P48" s="211"/>
      <c r="Q48" s="211"/>
      <c r="R48" s="211"/>
      <c r="S48" s="211"/>
      <c r="T48" s="211"/>
      <c r="U48" s="211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5"/>
      <c r="B49" s="29"/>
      <c r="C49" s="50" t="s">
        <v>80</v>
      </c>
      <c r="D49" s="223" t="s">
        <v>71</v>
      </c>
      <c r="E49" s="223" t="s">
        <v>72</v>
      </c>
      <c r="F49" s="223" t="s">
        <v>89</v>
      </c>
      <c r="G49" s="223" t="s">
        <v>91</v>
      </c>
      <c r="H49" s="210"/>
      <c r="I49" s="217"/>
      <c r="J49" s="223" t="s">
        <v>71</v>
      </c>
      <c r="K49" s="223" t="s">
        <v>72</v>
      </c>
      <c r="L49" s="223" t="s">
        <v>89</v>
      </c>
      <c r="M49" s="223" t="s">
        <v>92</v>
      </c>
      <c r="N49" s="217"/>
      <c r="O49" s="217"/>
      <c r="P49" s="223" t="s">
        <v>71</v>
      </c>
      <c r="Q49" s="223" t="s">
        <v>72</v>
      </c>
      <c r="R49" s="223" t="s">
        <v>89</v>
      </c>
      <c r="S49" s="223" t="s">
        <v>92</v>
      </c>
      <c r="T49" s="217"/>
      <c r="U49" s="217"/>
      <c r="V49" s="51" t="s">
        <v>93</v>
      </c>
      <c r="W49" s="51" t="s">
        <v>72</v>
      </c>
      <c r="X49" s="51" t="s">
        <v>89</v>
      </c>
      <c r="Y49" s="51" t="s">
        <v>92</v>
      </c>
      <c r="Z49" s="4"/>
      <c r="AA49" s="4"/>
      <c r="AB49" s="4"/>
      <c r="AC49" s="4"/>
      <c r="AD49" s="4"/>
    </row>
    <row r="50" spans="1:30" x14ac:dyDescent="0.3">
      <c r="A50" s="5"/>
      <c r="B50" s="29"/>
      <c r="C50" s="32" t="s">
        <v>68</v>
      </c>
      <c r="D50" s="224">
        <f>SUM(D51:D54)</f>
        <v>3896.6749999999997</v>
      </c>
      <c r="E50" s="224">
        <f t="shared" ref="E50:G50" si="26">SUM(E51:E54)</f>
        <v>597.63599999999997</v>
      </c>
      <c r="F50" s="224">
        <f t="shared" si="26"/>
        <v>1098.809</v>
      </c>
      <c r="G50" s="224">
        <f t="shared" si="26"/>
        <v>3395.502</v>
      </c>
      <c r="H50" s="210"/>
      <c r="I50" s="217"/>
      <c r="J50" s="225">
        <v>3084</v>
      </c>
      <c r="K50" s="224">
        <v>1536</v>
      </c>
      <c r="L50" s="224">
        <v>1072.9000000000001</v>
      </c>
      <c r="M50" s="225">
        <f>J50+K50-L50</f>
        <v>3547.1</v>
      </c>
      <c r="N50" s="217"/>
      <c r="O50" s="217"/>
      <c r="P50" s="224">
        <f>SUM(P51:P54)</f>
        <v>3395.502</v>
      </c>
      <c r="Q50" s="224">
        <f t="shared" ref="Q50:S50" si="27">SUM(Q51:Q54)</f>
        <v>1058.5999999999999</v>
      </c>
      <c r="R50" s="224">
        <f t="shared" si="27"/>
        <v>622.29999999999995</v>
      </c>
      <c r="S50" s="224">
        <f t="shared" si="27"/>
        <v>3831.8019999999997</v>
      </c>
      <c r="T50" s="217"/>
      <c r="U50" s="217"/>
      <c r="V50" s="37">
        <f>SUM(V51:V54)</f>
        <v>3831.8019999999997</v>
      </c>
      <c r="W50" s="37">
        <f t="shared" ref="W50:Y50" si="28">SUM(W51:W54)</f>
        <v>1615.7</v>
      </c>
      <c r="X50" s="37">
        <f t="shared" si="28"/>
        <v>1297.9000000000001</v>
      </c>
      <c r="Y50" s="37">
        <f t="shared" si="28"/>
        <v>4149.6019999999999</v>
      </c>
      <c r="Z50" s="4"/>
      <c r="AA50" s="4"/>
      <c r="AB50" s="4"/>
      <c r="AC50" s="4"/>
      <c r="AD50" s="4"/>
    </row>
    <row r="51" spans="1:30" x14ac:dyDescent="0.3">
      <c r="A51" s="5"/>
      <c r="B51" s="29"/>
      <c r="C51" s="32" t="s">
        <v>69</v>
      </c>
      <c r="D51" s="224">
        <v>1688.366</v>
      </c>
      <c r="E51" s="224">
        <v>-806.02700000000004</v>
      </c>
      <c r="F51" s="224">
        <v>88.988</v>
      </c>
      <c r="G51" s="225">
        <f t="shared" ref="G51:G54" si="29">D51+E51-F51</f>
        <v>793.35099999999989</v>
      </c>
      <c r="H51" s="210"/>
      <c r="I51" s="217"/>
      <c r="J51" s="225">
        <v>583.79999999999995</v>
      </c>
      <c r="K51" s="224">
        <v>150</v>
      </c>
      <c r="L51" s="224">
        <v>65</v>
      </c>
      <c r="M51" s="225">
        <f t="shared" ref="M51:M54" si="30">J51+K51-L51</f>
        <v>668.8</v>
      </c>
      <c r="N51" s="217"/>
      <c r="O51" s="217"/>
      <c r="P51" s="224">
        <v>793.35099999999989</v>
      </c>
      <c r="Q51" s="224">
        <v>342.8</v>
      </c>
      <c r="R51" s="224">
        <v>226.1</v>
      </c>
      <c r="S51" s="225">
        <f t="shared" ref="S51:S54" si="31">P51+Q51-R51</f>
        <v>910.05099999999982</v>
      </c>
      <c r="T51" s="217"/>
      <c r="U51" s="217"/>
      <c r="V51" s="37">
        <v>910.05099999999982</v>
      </c>
      <c r="W51" s="37">
        <f>200</f>
        <v>200</v>
      </c>
      <c r="X51" s="37">
        <v>250</v>
      </c>
      <c r="Y51" s="33">
        <f t="shared" ref="Y51:Y54" si="32">V51+W51-X51</f>
        <v>860.05099999999993</v>
      </c>
      <c r="Z51" s="4"/>
      <c r="AA51" s="4"/>
      <c r="AB51" s="4"/>
      <c r="AC51" s="4"/>
      <c r="AD51" s="4"/>
    </row>
    <row r="52" spans="1:30" x14ac:dyDescent="0.3">
      <c r="A52" s="5"/>
      <c r="B52" s="29"/>
      <c r="C52" s="32" t="s">
        <v>70</v>
      </c>
      <c r="D52" s="224">
        <v>1416.825</v>
      </c>
      <c r="E52" s="224">
        <v>792.6</v>
      </c>
      <c r="F52" s="224">
        <v>427.90100000000001</v>
      </c>
      <c r="G52" s="225">
        <f t="shared" si="29"/>
        <v>1781.5240000000001</v>
      </c>
      <c r="H52" s="210"/>
      <c r="I52" s="217"/>
      <c r="J52" s="225">
        <v>1795.2</v>
      </c>
      <c r="K52" s="224">
        <v>776</v>
      </c>
      <c r="L52" s="224">
        <v>427.9</v>
      </c>
      <c r="M52" s="225">
        <f t="shared" si="30"/>
        <v>2143.2999999999997</v>
      </c>
      <c r="N52" s="217"/>
      <c r="O52" s="217"/>
      <c r="P52" s="224">
        <v>1781.5240000000001</v>
      </c>
      <c r="Q52" s="224">
        <v>377.9</v>
      </c>
      <c r="R52" s="224">
        <v>213.3</v>
      </c>
      <c r="S52" s="225">
        <f t="shared" si="31"/>
        <v>1946.124</v>
      </c>
      <c r="T52" s="217"/>
      <c r="U52" s="217"/>
      <c r="V52" s="37">
        <v>1946.124</v>
      </c>
      <c r="W52" s="37">
        <v>770</v>
      </c>
      <c r="X52" s="37">
        <v>427.9</v>
      </c>
      <c r="Y52" s="33">
        <f t="shared" si="32"/>
        <v>2288.2239999999997</v>
      </c>
      <c r="Z52" s="4"/>
      <c r="AA52" s="4"/>
      <c r="AB52" s="4"/>
      <c r="AC52" s="4"/>
      <c r="AD52" s="4"/>
    </row>
    <row r="53" spans="1:30" x14ac:dyDescent="0.3">
      <c r="A53" s="5"/>
      <c r="B53" s="29"/>
      <c r="C53" s="32" t="s">
        <v>86</v>
      </c>
      <c r="D53" s="224">
        <v>279.96699999999998</v>
      </c>
      <c r="E53" s="224">
        <v>20</v>
      </c>
      <c r="F53" s="224">
        <v>0</v>
      </c>
      <c r="G53" s="225">
        <f t="shared" si="29"/>
        <v>299.96699999999998</v>
      </c>
      <c r="H53" s="210"/>
      <c r="I53" s="217"/>
      <c r="J53" s="225">
        <v>299.89999999999998</v>
      </c>
      <c r="K53" s="224">
        <v>20</v>
      </c>
      <c r="L53" s="224">
        <v>0</v>
      </c>
      <c r="M53" s="225">
        <f t="shared" si="30"/>
        <v>319.89999999999998</v>
      </c>
      <c r="N53" s="217"/>
      <c r="O53" s="217"/>
      <c r="P53" s="224">
        <v>299.96699999999998</v>
      </c>
      <c r="Q53" s="224">
        <v>60</v>
      </c>
      <c r="R53" s="224">
        <v>0</v>
      </c>
      <c r="S53" s="225">
        <f t="shared" si="31"/>
        <v>359.96699999999998</v>
      </c>
      <c r="T53" s="217"/>
      <c r="U53" s="217"/>
      <c r="V53" s="37">
        <v>359.96699999999998</v>
      </c>
      <c r="W53" s="37">
        <v>30</v>
      </c>
      <c r="X53" s="37">
        <v>20</v>
      </c>
      <c r="Y53" s="33">
        <f t="shared" si="32"/>
        <v>369.96699999999998</v>
      </c>
      <c r="Z53" s="4"/>
      <c r="AA53" s="4"/>
      <c r="AB53" s="4"/>
      <c r="AC53" s="4"/>
      <c r="AD53" s="4"/>
    </row>
    <row r="54" spans="1:30" x14ac:dyDescent="0.3">
      <c r="A54" s="5"/>
      <c r="B54" s="29"/>
      <c r="C54" s="85" t="s">
        <v>87</v>
      </c>
      <c r="D54" s="224">
        <v>511.517</v>
      </c>
      <c r="E54" s="224">
        <v>591.06299999999999</v>
      </c>
      <c r="F54" s="224">
        <v>581.91999999999996</v>
      </c>
      <c r="G54" s="225">
        <f t="shared" si="29"/>
        <v>520.66</v>
      </c>
      <c r="H54" s="210"/>
      <c r="I54" s="217"/>
      <c r="J54" s="225">
        <v>405.1</v>
      </c>
      <c r="K54" s="224">
        <v>590</v>
      </c>
      <c r="L54" s="224">
        <v>580</v>
      </c>
      <c r="M54" s="225">
        <f t="shared" si="30"/>
        <v>415.1</v>
      </c>
      <c r="N54" s="217"/>
      <c r="O54" s="217"/>
      <c r="P54" s="224">
        <v>520.66</v>
      </c>
      <c r="Q54" s="224">
        <v>277.89999999999998</v>
      </c>
      <c r="R54" s="224">
        <v>182.9</v>
      </c>
      <c r="S54" s="225">
        <f t="shared" si="31"/>
        <v>615.66</v>
      </c>
      <c r="T54" s="217"/>
      <c r="U54" s="217"/>
      <c r="V54" s="37">
        <v>615.66</v>
      </c>
      <c r="W54" s="37">
        <v>615.70000000000005</v>
      </c>
      <c r="X54" s="37">
        <v>600</v>
      </c>
      <c r="Y54" s="33">
        <f t="shared" si="32"/>
        <v>631.36000000000013</v>
      </c>
      <c r="Z54" s="4"/>
      <c r="AA54" s="4"/>
      <c r="AB54" s="4"/>
      <c r="AC54" s="4"/>
      <c r="AD54" s="4"/>
    </row>
    <row r="55" spans="1:30" ht="10.5" customHeight="1" x14ac:dyDescent="0.3">
      <c r="A55" s="5"/>
      <c r="B55" s="29"/>
      <c r="C55" s="30"/>
      <c r="D55" s="210"/>
      <c r="E55" s="210"/>
      <c r="F55" s="210"/>
      <c r="G55" s="210"/>
      <c r="H55" s="210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31"/>
      <c r="W55" s="231"/>
      <c r="X55" s="231"/>
      <c r="Y55" s="231"/>
      <c r="Z55" s="4"/>
      <c r="AA55" s="4"/>
      <c r="AB55" s="4"/>
      <c r="AC55" s="4"/>
      <c r="AD55" s="4"/>
    </row>
    <row r="56" spans="1:30" x14ac:dyDescent="0.3">
      <c r="A56" s="5"/>
      <c r="B56" s="29"/>
      <c r="C56" s="50" t="s">
        <v>73</v>
      </c>
      <c r="D56" s="223" t="s">
        <v>74</v>
      </c>
      <c r="E56" s="223" t="s">
        <v>94</v>
      </c>
      <c r="F56" s="210"/>
      <c r="G56" s="210"/>
      <c r="H56" s="210"/>
      <c r="I56" s="211"/>
      <c r="J56" s="223" t="s">
        <v>95</v>
      </c>
      <c r="K56" s="210"/>
      <c r="L56" s="210"/>
      <c r="M56" s="210"/>
      <c r="N56" s="210"/>
      <c r="O56" s="211"/>
      <c r="P56" s="223" t="s">
        <v>96</v>
      </c>
      <c r="Q56" s="211"/>
      <c r="R56" s="211"/>
      <c r="S56" s="211"/>
      <c r="T56" s="211"/>
      <c r="U56" s="211"/>
      <c r="V56" s="51" t="s">
        <v>95</v>
      </c>
      <c r="W56" s="231"/>
      <c r="X56" s="231"/>
      <c r="Y56" s="231"/>
      <c r="Z56" s="4"/>
      <c r="AA56" s="4"/>
      <c r="AB56" s="4"/>
      <c r="AC56" s="4"/>
      <c r="AD56" s="4"/>
    </row>
    <row r="57" spans="1:30" x14ac:dyDescent="0.3">
      <c r="A57" s="5"/>
      <c r="B57" s="29"/>
      <c r="C57" s="32"/>
      <c r="D57" s="226">
        <v>56</v>
      </c>
      <c r="E57" s="226">
        <v>59</v>
      </c>
      <c r="F57" s="210"/>
      <c r="G57" s="210"/>
      <c r="H57" s="210"/>
      <c r="I57" s="211"/>
      <c r="J57" s="226">
        <v>56</v>
      </c>
      <c r="K57" s="210"/>
      <c r="L57" s="210"/>
      <c r="M57" s="210"/>
      <c r="N57" s="210"/>
      <c r="O57" s="211"/>
      <c r="P57" s="226">
        <v>63.6</v>
      </c>
      <c r="Q57" s="211"/>
      <c r="R57" s="211"/>
      <c r="S57" s="211"/>
      <c r="T57" s="211"/>
      <c r="U57" s="211"/>
      <c r="V57" s="38">
        <v>65</v>
      </c>
      <c r="W57" s="231"/>
      <c r="X57" s="231"/>
      <c r="Y57" s="231"/>
      <c r="Z57" s="4"/>
      <c r="AA57" s="4"/>
      <c r="AB57" s="4"/>
      <c r="AC57" s="4"/>
      <c r="AD57" s="4"/>
    </row>
    <row r="58" spans="1:30" x14ac:dyDescent="0.3">
      <c r="A58" s="5"/>
      <c r="B58" s="29"/>
      <c r="C58" s="30"/>
      <c r="D58" s="210"/>
      <c r="E58" s="210"/>
      <c r="F58" s="210"/>
      <c r="G58" s="210"/>
      <c r="H58" s="210"/>
      <c r="I58" s="211"/>
      <c r="J58" s="210"/>
      <c r="K58" s="210"/>
      <c r="L58" s="210"/>
      <c r="M58" s="210"/>
      <c r="N58" s="210"/>
      <c r="O58" s="211"/>
      <c r="P58" s="211"/>
      <c r="Q58" s="211"/>
      <c r="R58" s="211"/>
      <c r="S58" s="211"/>
      <c r="T58" s="211"/>
      <c r="U58" s="211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3">
      <c r="A59" s="5"/>
      <c r="B59" s="53" t="s">
        <v>90</v>
      </c>
      <c r="C59" s="52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102"/>
      <c r="W59" s="102"/>
      <c r="X59" s="102"/>
      <c r="Y59" s="102"/>
      <c r="Z59" s="102"/>
      <c r="AA59" s="102"/>
      <c r="AB59" s="103"/>
      <c r="AC59" s="4"/>
      <c r="AD59" s="4"/>
    </row>
    <row r="60" spans="1:30" x14ac:dyDescent="0.3">
      <c r="A60" s="5"/>
      <c r="B60" s="73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5"/>
      <c r="AC60" s="4"/>
      <c r="AD60" s="4"/>
    </row>
    <row r="61" spans="1:30" x14ac:dyDescent="0.3">
      <c r="A61" s="5"/>
      <c r="B61" s="258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74"/>
      <c r="W61" s="74"/>
      <c r="X61" s="74"/>
      <c r="Y61" s="74"/>
      <c r="Z61" s="74"/>
      <c r="AA61" s="74"/>
      <c r="AB61" s="75"/>
      <c r="AC61" s="4"/>
      <c r="AD61" s="4"/>
    </row>
    <row r="62" spans="1:30" x14ac:dyDescent="0.3">
      <c r="A62" s="5"/>
      <c r="B62" s="258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74"/>
      <c r="W62" s="74"/>
      <c r="X62" s="74"/>
      <c r="Y62" s="74"/>
      <c r="Z62" s="74"/>
      <c r="AA62" s="74"/>
      <c r="AB62" s="75"/>
      <c r="AC62" s="4"/>
      <c r="AD62" s="4"/>
    </row>
    <row r="63" spans="1:30" x14ac:dyDescent="0.3">
      <c r="A63" s="5"/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74"/>
      <c r="W63" s="74"/>
      <c r="X63" s="74"/>
      <c r="Y63" s="74"/>
      <c r="Z63" s="74"/>
      <c r="AA63" s="74"/>
      <c r="AB63" s="75"/>
      <c r="AC63" s="4"/>
      <c r="AD63" s="4"/>
    </row>
    <row r="64" spans="1:30" x14ac:dyDescent="0.3">
      <c r="A64" s="5"/>
      <c r="B64" s="107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74"/>
      <c r="W64" s="74"/>
      <c r="X64" s="74"/>
      <c r="Y64" s="74"/>
      <c r="Z64" s="74"/>
      <c r="AA64" s="74"/>
      <c r="AB64" s="75"/>
      <c r="AC64" s="4"/>
      <c r="AD64" s="4"/>
    </row>
    <row r="65" spans="1:30" x14ac:dyDescent="0.3">
      <c r="A65" s="5"/>
      <c r="B65" s="107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74"/>
      <c r="W65" s="74"/>
      <c r="X65" s="74"/>
      <c r="Y65" s="74"/>
      <c r="Z65" s="74"/>
      <c r="AA65" s="74"/>
      <c r="AB65" s="75"/>
      <c r="AC65" s="4"/>
      <c r="AD65" s="4"/>
    </row>
    <row r="66" spans="1:30" x14ac:dyDescent="0.3">
      <c r="A66" s="5"/>
      <c r="B66" s="107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74"/>
      <c r="W66" s="74"/>
      <c r="X66" s="74"/>
      <c r="Y66" s="74"/>
      <c r="Z66" s="74"/>
      <c r="AA66" s="74"/>
      <c r="AB66" s="75"/>
      <c r="AC66" s="4"/>
      <c r="AD66" s="4"/>
    </row>
    <row r="67" spans="1:30" x14ac:dyDescent="0.3">
      <c r="A67" s="5"/>
      <c r="B67" s="107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74"/>
      <c r="W67" s="74"/>
      <c r="X67" s="74"/>
      <c r="Y67" s="74"/>
      <c r="Z67" s="74"/>
      <c r="AA67" s="74"/>
      <c r="AB67" s="75"/>
      <c r="AC67" s="4"/>
      <c r="AD67" s="4"/>
    </row>
    <row r="68" spans="1:30" x14ac:dyDescent="0.3">
      <c r="A68" s="5"/>
      <c r="B68" s="107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74"/>
      <c r="W68" s="74"/>
      <c r="X68" s="74"/>
      <c r="Y68" s="74"/>
      <c r="Z68" s="74"/>
      <c r="AA68" s="74"/>
      <c r="AB68" s="75"/>
      <c r="AC68" s="4"/>
      <c r="AD68" s="4"/>
    </row>
    <row r="69" spans="1:30" x14ac:dyDescent="0.3">
      <c r="A69" s="5"/>
      <c r="B69" s="107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74"/>
      <c r="W69" s="74"/>
      <c r="X69" s="74"/>
      <c r="Y69" s="74"/>
      <c r="Z69" s="74"/>
      <c r="AA69" s="74"/>
      <c r="AB69" s="75"/>
      <c r="AC69" s="4"/>
      <c r="AD69" s="4"/>
    </row>
    <row r="70" spans="1:30" x14ac:dyDescent="0.3">
      <c r="A70" s="5"/>
      <c r="B70" s="107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74"/>
      <c r="W70" s="74"/>
      <c r="X70" s="74"/>
      <c r="Y70" s="74"/>
      <c r="Z70" s="74"/>
      <c r="AA70" s="74"/>
      <c r="AB70" s="75"/>
      <c r="AC70" s="4"/>
      <c r="AD70" s="4"/>
    </row>
    <row r="71" spans="1:30" x14ac:dyDescent="0.3">
      <c r="A71" s="5"/>
      <c r="B71" s="107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74"/>
      <c r="W71" s="74"/>
      <c r="X71" s="74"/>
      <c r="Y71" s="74"/>
      <c r="Z71" s="74"/>
      <c r="AA71" s="74"/>
      <c r="AB71" s="75"/>
      <c r="AC71" s="4"/>
      <c r="AD71" s="4"/>
    </row>
    <row r="72" spans="1:30" x14ac:dyDescent="0.3">
      <c r="A72" s="5"/>
      <c r="B72" s="107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74"/>
      <c r="W72" s="74"/>
      <c r="X72" s="74"/>
      <c r="Y72" s="74"/>
      <c r="Z72" s="74"/>
      <c r="AA72" s="74"/>
      <c r="AB72" s="75"/>
      <c r="AC72" s="4"/>
      <c r="AD72" s="4"/>
    </row>
    <row r="73" spans="1:30" x14ac:dyDescent="0.3">
      <c r="A73" s="5"/>
      <c r="B73" s="107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74"/>
      <c r="W73" s="74"/>
      <c r="X73" s="74"/>
      <c r="Y73" s="74"/>
      <c r="Z73" s="74"/>
      <c r="AA73" s="74"/>
      <c r="AB73" s="75"/>
      <c r="AC73" s="4"/>
      <c r="AD73" s="4"/>
    </row>
    <row r="74" spans="1:30" x14ac:dyDescent="0.3">
      <c r="A74" s="5"/>
      <c r="B74" s="107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74"/>
      <c r="W74" s="74"/>
      <c r="X74" s="74"/>
      <c r="Y74" s="74"/>
      <c r="Z74" s="74"/>
      <c r="AA74" s="74"/>
      <c r="AB74" s="75"/>
      <c r="AC74" s="4"/>
      <c r="AD74" s="4"/>
    </row>
    <row r="75" spans="1:30" x14ac:dyDescent="0.3">
      <c r="A75" s="5"/>
      <c r="B75" s="107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74"/>
      <c r="W75" s="74"/>
      <c r="X75" s="74"/>
      <c r="Y75" s="74"/>
      <c r="Z75" s="74"/>
      <c r="AA75" s="74"/>
      <c r="AB75" s="75"/>
      <c r="AC75" s="4"/>
      <c r="AD75" s="4"/>
    </row>
    <row r="76" spans="1:30" x14ac:dyDescent="0.3">
      <c r="A76" s="5"/>
      <c r="B76" s="107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74"/>
      <c r="W76" s="74"/>
      <c r="X76" s="74"/>
      <c r="Y76" s="74"/>
      <c r="Z76" s="74"/>
      <c r="AA76" s="74"/>
      <c r="AB76" s="75"/>
      <c r="AC76" s="4"/>
      <c r="AD76" s="4"/>
    </row>
    <row r="77" spans="1:30" x14ac:dyDescent="0.3">
      <c r="A77" s="5"/>
      <c r="B77" s="107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74"/>
      <c r="W77" s="74"/>
      <c r="X77" s="74"/>
      <c r="Y77" s="74"/>
      <c r="Z77" s="74"/>
      <c r="AA77" s="74"/>
      <c r="AB77" s="75"/>
      <c r="AC77" s="4"/>
      <c r="AD77" s="4"/>
    </row>
    <row r="78" spans="1:30" x14ac:dyDescent="0.3">
      <c r="A78" s="5"/>
      <c r="B78" s="107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74"/>
      <c r="W78" s="74"/>
      <c r="X78" s="74"/>
      <c r="Y78" s="74"/>
      <c r="Z78" s="74"/>
      <c r="AA78" s="74"/>
      <c r="AB78" s="75"/>
      <c r="AC78" s="4"/>
      <c r="AD78" s="4"/>
    </row>
    <row r="79" spans="1:30" x14ac:dyDescent="0.3">
      <c r="A79" s="5"/>
      <c r="B79" s="107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74"/>
      <c r="W79" s="74"/>
      <c r="X79" s="74"/>
      <c r="Y79" s="74"/>
      <c r="Z79" s="74"/>
      <c r="AA79" s="74"/>
      <c r="AB79" s="75"/>
      <c r="AC79" s="4"/>
      <c r="AD79" s="4"/>
    </row>
    <row r="80" spans="1:30" x14ac:dyDescent="0.3">
      <c r="A80" s="5"/>
      <c r="B80" s="107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74"/>
      <c r="W80" s="74"/>
      <c r="X80" s="74"/>
      <c r="Y80" s="74"/>
      <c r="Z80" s="74"/>
      <c r="AA80" s="74"/>
      <c r="AB80" s="75"/>
      <c r="AC80" s="4"/>
      <c r="AD80" s="4"/>
    </row>
    <row r="81" spans="1:30" x14ac:dyDescent="0.3">
      <c r="A81" s="5"/>
      <c r="B81" s="107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74"/>
      <c r="W81" s="74"/>
      <c r="X81" s="74"/>
      <c r="Y81" s="74"/>
      <c r="Z81" s="74"/>
      <c r="AA81" s="74"/>
      <c r="AB81" s="75"/>
      <c r="AC81" s="4"/>
      <c r="AD81" s="4"/>
    </row>
    <row r="82" spans="1:30" x14ac:dyDescent="0.3">
      <c r="A82" s="5"/>
      <c r="B82" s="258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74"/>
      <c r="W82" s="74"/>
      <c r="X82" s="74"/>
      <c r="Y82" s="74"/>
      <c r="Z82" s="74"/>
      <c r="AA82" s="74"/>
      <c r="AB82" s="75"/>
      <c r="AC82" s="4"/>
      <c r="AD82" s="4"/>
    </row>
    <row r="83" spans="1:30" x14ac:dyDescent="0.3">
      <c r="A83" s="5"/>
      <c r="B83" s="76"/>
      <c r="C83" s="44"/>
      <c r="D83" s="44"/>
      <c r="E83" s="4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74"/>
      <c r="W83" s="74"/>
      <c r="X83" s="74"/>
      <c r="Y83" s="74"/>
      <c r="Z83" s="74"/>
      <c r="AA83" s="74"/>
      <c r="AB83" s="75"/>
      <c r="AC83" s="4"/>
      <c r="AD83" s="4"/>
    </row>
    <row r="84" spans="1:30" x14ac:dyDescent="0.3">
      <c r="A84" s="5"/>
      <c r="B84" s="93"/>
      <c r="C84" s="92"/>
      <c r="D84" s="2"/>
      <c r="E84" s="2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74"/>
      <c r="W84" s="74"/>
      <c r="X84" s="74"/>
      <c r="Y84" s="74"/>
      <c r="Z84" s="74"/>
      <c r="AA84" s="74"/>
      <c r="AB84" s="75"/>
      <c r="AC84" s="4"/>
      <c r="AD84" s="4"/>
    </row>
    <row r="85" spans="1:30" x14ac:dyDescent="0.3">
      <c r="A85" s="5"/>
      <c r="B85" s="76"/>
      <c r="C85" s="77"/>
      <c r="D85" s="2"/>
      <c r="E85" s="2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74"/>
      <c r="W85" s="74"/>
      <c r="X85" s="74"/>
      <c r="Y85" s="74"/>
      <c r="Z85" s="74"/>
      <c r="AA85" s="74"/>
      <c r="AB85" s="75"/>
      <c r="AC85" s="4"/>
      <c r="AD85" s="4"/>
    </row>
    <row r="86" spans="1:30" x14ac:dyDescent="0.3">
      <c r="A86" s="5"/>
      <c r="B86" s="76"/>
      <c r="C86" s="77"/>
      <c r="D86" s="2"/>
      <c r="E86" s="2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74"/>
      <c r="W86" s="74"/>
      <c r="X86" s="74"/>
      <c r="Y86" s="74"/>
      <c r="Z86" s="74"/>
      <c r="AA86" s="74"/>
      <c r="AB86" s="75"/>
      <c r="AC86" s="4"/>
      <c r="AD86" s="4"/>
    </row>
    <row r="87" spans="1:30" x14ac:dyDescent="0.3">
      <c r="A87" s="5"/>
      <c r="B87" s="86"/>
      <c r="C87" s="87"/>
      <c r="D87" s="88"/>
      <c r="E87" s="88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104"/>
      <c r="W87" s="104"/>
      <c r="X87" s="104"/>
      <c r="Y87" s="104"/>
      <c r="Z87" s="104"/>
      <c r="AA87" s="104"/>
      <c r="AB87" s="105"/>
      <c r="AC87" s="4"/>
      <c r="AD87" s="4"/>
    </row>
    <row r="88" spans="1:30" x14ac:dyDescent="0.3">
      <c r="A88" s="40"/>
      <c r="B88" s="90"/>
      <c r="C88" s="89"/>
      <c r="D88" s="90"/>
      <c r="E88" s="90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3">
      <c r="A89" s="40"/>
      <c r="B89" s="90"/>
      <c r="C89" s="89"/>
      <c r="D89" s="90"/>
      <c r="E89" s="90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3">
      <c r="A90" s="5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3">
      <c r="A91" s="5"/>
      <c r="B91" s="34" t="s">
        <v>79</v>
      </c>
      <c r="C91" s="72">
        <v>45208</v>
      </c>
      <c r="D91" s="34" t="s">
        <v>75</v>
      </c>
      <c r="E91" s="259" t="s">
        <v>107</v>
      </c>
      <c r="F91" s="259"/>
      <c r="G91" s="259"/>
      <c r="H91" s="34"/>
      <c r="I91" s="34" t="s">
        <v>76</v>
      </c>
      <c r="J91" s="275" t="s">
        <v>108</v>
      </c>
      <c r="K91" s="275"/>
      <c r="L91" s="275"/>
      <c r="M91" s="275"/>
      <c r="N91" s="34"/>
      <c r="O91" s="34"/>
      <c r="P91" s="34"/>
      <c r="Q91" s="34"/>
      <c r="R91" s="34"/>
      <c r="S91" s="34"/>
      <c r="T91" s="34"/>
      <c r="U91" s="34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3">
      <c r="A92" s="5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3">
      <c r="A93" s="5"/>
      <c r="B93" s="34"/>
      <c r="C93" s="34"/>
      <c r="D93" s="34" t="s">
        <v>78</v>
      </c>
      <c r="E93" s="36"/>
      <c r="F93" s="36"/>
      <c r="G93" s="36"/>
      <c r="H93" s="34"/>
      <c r="I93" s="34" t="s">
        <v>78</v>
      </c>
      <c r="J93" s="35"/>
      <c r="K93" s="35"/>
      <c r="L93" s="35"/>
      <c r="M93" s="35"/>
      <c r="N93" s="34"/>
      <c r="O93" s="34"/>
      <c r="P93" s="34"/>
      <c r="Q93" s="34"/>
      <c r="R93" s="34"/>
      <c r="S93" s="34"/>
      <c r="T93" s="34"/>
      <c r="U93" s="34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3">
      <c r="A94" s="5"/>
      <c r="B94" s="34"/>
      <c r="C94" s="34"/>
      <c r="D94" s="34"/>
      <c r="E94" s="36"/>
      <c r="F94" s="36"/>
      <c r="G94" s="36"/>
      <c r="H94" s="34"/>
      <c r="I94" s="34"/>
      <c r="J94" s="35"/>
      <c r="K94" s="35"/>
      <c r="L94" s="35"/>
      <c r="M94" s="35"/>
      <c r="N94" s="34"/>
      <c r="O94" s="34"/>
      <c r="P94" s="34"/>
      <c r="Q94" s="34"/>
      <c r="R94" s="34"/>
      <c r="S94" s="34"/>
      <c r="T94" s="34"/>
      <c r="U94" s="34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3">
      <c r="A95" s="5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3">
      <c r="A96" s="5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3">
      <c r="AC97" s="3"/>
      <c r="AD97" s="3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2023-10-09T15:06:22Z</cp:lastPrinted>
  <dcterms:created xsi:type="dcterms:W3CDTF">2017-02-23T12:10:09Z</dcterms:created>
  <dcterms:modified xsi:type="dcterms:W3CDTF">2023-10-17T19:02:09Z</dcterms:modified>
</cp:coreProperties>
</file>