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8936C977-9CBC-48FE-BA5E-FFFC0A3D005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NR 2025" sheetId="3" r:id="rId1"/>
  </sheets>
  <definedNames>
    <definedName name="_xlnm.Print_Area" localSheetId="0">'NR 2025'!$A$1:$AE$96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3" l="1"/>
  <c r="X31" i="3"/>
  <c r="X29" i="3"/>
  <c r="X28" i="3"/>
  <c r="X35" i="3"/>
  <c r="X34" i="3"/>
  <c r="X33" i="3"/>
  <c r="R31" i="3"/>
  <c r="X17" i="3"/>
  <c r="Y29" i="3"/>
  <c r="Y38" i="3"/>
  <c r="Y33" i="3"/>
  <c r="Y35" i="3"/>
  <c r="Y34" i="3"/>
  <c r="Y31" i="3"/>
  <c r="Y18" i="3"/>
  <c r="X32" i="3" l="1"/>
  <c r="S38" i="3"/>
  <c r="S35" i="3"/>
  <c r="S31" i="3"/>
  <c r="S29" i="3"/>
  <c r="S33" i="3"/>
  <c r="S34" i="3"/>
  <c r="R38" i="3"/>
  <c r="R29" i="3"/>
  <c r="E38" i="3"/>
  <c r="E33" i="3"/>
  <c r="E34" i="3"/>
  <c r="E18" i="3"/>
  <c r="E35" i="3"/>
  <c r="E31" i="3"/>
  <c r="E29" i="3"/>
  <c r="D38" i="3"/>
  <c r="D34" i="3"/>
  <c r="D31" i="3"/>
  <c r="D29" i="3"/>
  <c r="D32" i="3"/>
  <c r="D35" i="3"/>
  <c r="X39" i="3" l="1"/>
  <c r="O19" i="3" l="1"/>
  <c r="L39" i="3" l="1"/>
  <c r="M39" i="3"/>
  <c r="N39" i="3"/>
  <c r="V21" i="3"/>
  <c r="AA37" i="3" l="1"/>
  <c r="AA34" i="3" l="1"/>
  <c r="Z50" i="3"/>
  <c r="AA29" i="3"/>
  <c r="AC29" i="3" s="1"/>
  <c r="P32" i="3"/>
  <c r="AA21" i="3"/>
  <c r="AC21" i="3" s="1"/>
  <c r="S32" i="3"/>
  <c r="U38" i="3"/>
  <c r="W38" i="3" s="1"/>
  <c r="R32" i="3"/>
  <c r="T24" i="3"/>
  <c r="R24" i="3"/>
  <c r="V32" i="3"/>
  <c r="V39" i="3" s="1"/>
  <c r="F39" i="3"/>
  <c r="G30" i="3"/>
  <c r="G31" i="3"/>
  <c r="G33" i="3"/>
  <c r="K33" i="3" s="1"/>
  <c r="G35" i="3"/>
  <c r="K35" i="3" s="1"/>
  <c r="G36" i="3"/>
  <c r="G37" i="3"/>
  <c r="K37" i="3" s="1"/>
  <c r="G34" i="3"/>
  <c r="G29" i="3"/>
  <c r="K29" i="3" s="1"/>
  <c r="G38" i="3"/>
  <c r="D44" i="3"/>
  <c r="J32" i="3"/>
  <c r="J21" i="3"/>
  <c r="J24" i="3" s="1"/>
  <c r="Y50" i="3"/>
  <c r="G18" i="3"/>
  <c r="F50" i="3"/>
  <c r="D50" i="3"/>
  <c r="E50" i="3"/>
  <c r="O32" i="3"/>
  <c r="E32" i="3"/>
  <c r="G32" i="3" s="1"/>
  <c r="G16" i="3"/>
  <c r="G17" i="3"/>
  <c r="G19" i="3"/>
  <c r="G20" i="3"/>
  <c r="G15" i="3"/>
  <c r="G21" i="3"/>
  <c r="G28" i="3"/>
  <c r="AA17" i="3"/>
  <c r="G54" i="3"/>
  <c r="R54" i="3" s="1"/>
  <c r="U54" i="3" s="1"/>
  <c r="G53" i="3"/>
  <c r="G52" i="3"/>
  <c r="O52" i="3" s="1"/>
  <c r="AA52" i="3" s="1"/>
  <c r="G51" i="3"/>
  <c r="AB24" i="3"/>
  <c r="AB32" i="3"/>
  <c r="Z32" i="3"/>
  <c r="Z39" i="3" s="1"/>
  <c r="X24" i="3"/>
  <c r="Z24" i="3"/>
  <c r="O17" i="3"/>
  <c r="O16" i="3"/>
  <c r="O18" i="3"/>
  <c r="Q18" i="3" s="1"/>
  <c r="O15" i="3"/>
  <c r="Q15" i="3" s="1"/>
  <c r="O21" i="3"/>
  <c r="Q21" i="3" s="1"/>
  <c r="O20" i="3"/>
  <c r="Q20" i="3" s="1"/>
  <c r="Q19" i="3"/>
  <c r="O30" i="3"/>
  <c r="Q30" i="3" s="1"/>
  <c r="O35" i="3"/>
  <c r="Q35" i="3" s="1"/>
  <c r="Q32" i="3"/>
  <c r="O28" i="3"/>
  <c r="Q28" i="3" s="1"/>
  <c r="O29" i="3"/>
  <c r="O31" i="3"/>
  <c r="Q31" i="3"/>
  <c r="O36" i="3"/>
  <c r="O37" i="3"/>
  <c r="Q37" i="3" s="1"/>
  <c r="O38" i="3"/>
  <c r="K19" i="3"/>
  <c r="K21" i="3"/>
  <c r="D24" i="3"/>
  <c r="F24" i="3"/>
  <c r="G23" i="3"/>
  <c r="S50" i="3"/>
  <c r="T50" i="3"/>
  <c r="P24" i="3"/>
  <c r="M50" i="3"/>
  <c r="N50" i="3"/>
  <c r="O34" i="3"/>
  <c r="Y24" i="3"/>
  <c r="V24" i="3"/>
  <c r="S24" i="3"/>
  <c r="N24" i="3"/>
  <c r="M24" i="3"/>
  <c r="L24" i="3"/>
  <c r="AA38" i="3"/>
  <c r="AC38" i="3" s="1"/>
  <c r="AC37" i="3"/>
  <c r="AA36" i="3"/>
  <c r="AA35" i="3"/>
  <c r="AC35" i="3" s="1"/>
  <c r="AA33" i="3"/>
  <c r="AA30" i="3"/>
  <c r="AA28" i="3"/>
  <c r="AA23" i="3"/>
  <c r="AC23" i="3" s="1"/>
  <c r="AA22" i="3"/>
  <c r="AA20" i="3"/>
  <c r="AC20" i="3" s="1"/>
  <c r="AA19" i="3"/>
  <c r="AC19" i="3" s="1"/>
  <c r="AA18" i="3"/>
  <c r="AC18" i="3" s="1"/>
  <c r="AA16" i="3"/>
  <c r="AC16" i="3" s="1"/>
  <c r="AA15" i="3"/>
  <c r="AC15" i="3" s="1"/>
  <c r="U15" i="3"/>
  <c r="W15" i="3" s="1"/>
  <c r="S39" i="3"/>
  <c r="U37" i="3"/>
  <c r="W37" i="3" s="1"/>
  <c r="U36" i="3"/>
  <c r="W36" i="3" s="1"/>
  <c r="U35" i="3"/>
  <c r="W35" i="3" s="1"/>
  <c r="U34" i="3"/>
  <c r="W34" i="3" s="1"/>
  <c r="U33" i="3"/>
  <c r="W33" i="3" s="1"/>
  <c r="U31" i="3"/>
  <c r="W31" i="3" s="1"/>
  <c r="U30" i="3"/>
  <c r="W30" i="3" s="1"/>
  <c r="U29" i="3"/>
  <c r="W29" i="3" s="1"/>
  <c r="U28" i="3"/>
  <c r="W28" i="3" s="1"/>
  <c r="U23" i="3"/>
  <c r="W23" i="3" s="1"/>
  <c r="U22" i="3"/>
  <c r="W22" i="3"/>
  <c r="U21" i="3"/>
  <c r="W21" i="3" s="1"/>
  <c r="U20" i="3"/>
  <c r="W20" i="3" s="1"/>
  <c r="U19" i="3"/>
  <c r="W19" i="3" s="1"/>
  <c r="U18" i="3"/>
  <c r="W18" i="3" s="1"/>
  <c r="U17" i="3"/>
  <c r="W17" i="3" s="1"/>
  <c r="U16" i="3"/>
  <c r="W16" i="3" s="1"/>
  <c r="P39" i="3"/>
  <c r="O33" i="3"/>
  <c r="O23" i="3"/>
  <c r="Q23" i="3" s="1"/>
  <c r="AD23" i="3" s="1"/>
  <c r="O22" i="3"/>
  <c r="J39" i="3"/>
  <c r="G22" i="3"/>
  <c r="K23" i="3"/>
  <c r="L40" i="3"/>
  <c r="AD19" i="3" l="1"/>
  <c r="Y32" i="3"/>
  <c r="Y39" i="3" s="1"/>
  <c r="Y40" i="3" s="1"/>
  <c r="P40" i="3"/>
  <c r="AD15" i="3"/>
  <c r="Q17" i="3"/>
  <c r="AC28" i="3"/>
  <c r="K16" i="3"/>
  <c r="AC36" i="3"/>
  <c r="Z40" i="3"/>
  <c r="J40" i="3"/>
  <c r="K31" i="3"/>
  <c r="K30" i="3"/>
  <c r="AB39" i="3"/>
  <c r="AB40" i="3" s="1"/>
  <c r="Q33" i="3"/>
  <c r="Q34" i="3"/>
  <c r="AD21" i="3"/>
  <c r="AD20" i="3"/>
  <c r="V40" i="3"/>
  <c r="K34" i="3"/>
  <c r="K32" i="3"/>
  <c r="K22" i="3"/>
  <c r="AD28" i="3"/>
  <c r="T39" i="3"/>
  <c r="T40" i="3" s="1"/>
  <c r="K20" i="3"/>
  <c r="E39" i="3"/>
  <c r="S40" i="3"/>
  <c r="F40" i="3"/>
  <c r="G50" i="3"/>
  <c r="O54" i="3"/>
  <c r="Q22" i="3"/>
  <c r="AD18" i="3"/>
  <c r="U24" i="3"/>
  <c r="AC34" i="3"/>
  <c r="AD34" i="3" s="1"/>
  <c r="K38" i="3"/>
  <c r="W24" i="3"/>
  <c r="Q29" i="3"/>
  <c r="AD29" i="3" s="1"/>
  <c r="Q16" i="3"/>
  <c r="Q24" i="3" s="1"/>
  <c r="O39" i="3"/>
  <c r="R53" i="3"/>
  <c r="U53" i="3" s="1"/>
  <c r="O53" i="3"/>
  <c r="X40" i="3"/>
  <c r="AA32" i="3"/>
  <c r="K28" i="3"/>
  <c r="K17" i="3"/>
  <c r="AC22" i="3"/>
  <c r="AD22" i="3" s="1"/>
  <c r="M40" i="3"/>
  <c r="Q36" i="3"/>
  <c r="AD36" i="3" s="1"/>
  <c r="R51" i="3"/>
  <c r="K15" i="3"/>
  <c r="K18" i="3"/>
  <c r="R39" i="3"/>
  <c r="U32" i="3"/>
  <c r="W32" i="3" s="1"/>
  <c r="W39" i="3" s="1"/>
  <c r="O24" i="3"/>
  <c r="O40" i="3" s="1"/>
  <c r="N40" i="3"/>
  <c r="Q38" i="3"/>
  <c r="AD38" i="3" s="1"/>
  <c r="AA31" i="3"/>
  <c r="AC31" i="3" s="1"/>
  <c r="AD31" i="3" s="1"/>
  <c r="E24" i="3"/>
  <c r="R52" i="3"/>
  <c r="U52" i="3" s="1"/>
  <c r="AD35" i="3"/>
  <c r="D39" i="3"/>
  <c r="D40" i="3" s="1"/>
  <c r="K36" i="3"/>
  <c r="AA24" i="3"/>
  <c r="AC30" i="3"/>
  <c r="AD30" i="3" s="1"/>
  <c r="AC17" i="3"/>
  <c r="AD17" i="3" s="1"/>
  <c r="AC33" i="3"/>
  <c r="AD37" i="3"/>
  <c r="AD33" i="3" l="1"/>
  <c r="AD16" i="3"/>
  <c r="AA54" i="3"/>
  <c r="AC24" i="3"/>
  <c r="AD24" i="3" s="1"/>
  <c r="G39" i="3"/>
  <c r="AA53" i="3"/>
  <c r="E40" i="3"/>
  <c r="G24" i="3"/>
  <c r="R50" i="3"/>
  <c r="U50" i="3" s="1"/>
  <c r="U51" i="3"/>
  <c r="U39" i="3"/>
  <c r="U40" i="3" s="1"/>
  <c r="R40" i="3"/>
  <c r="O51" i="3"/>
  <c r="L50" i="3"/>
  <c r="AC32" i="3"/>
  <c r="AD32" i="3" s="1"/>
  <c r="Q39" i="3"/>
  <c r="Q40" i="3" s="1"/>
  <c r="Q41" i="3" s="1"/>
  <c r="K39" i="3"/>
  <c r="K24" i="3"/>
  <c r="AA39" i="3"/>
  <c r="AA40" i="3" s="1"/>
  <c r="W40" i="3"/>
  <c r="W41" i="3" s="1"/>
  <c r="G40" i="3" l="1"/>
  <c r="O50" i="3"/>
  <c r="AC39" i="3"/>
  <c r="K40" i="3"/>
  <c r="K41" i="3" s="1"/>
  <c r="AA51" i="3" l="1"/>
  <c r="X50" i="3"/>
  <c r="AA50" i="3" s="1"/>
  <c r="AD39" i="3"/>
  <c r="AC40" i="3"/>
  <c r="AC41" i="3" l="1"/>
  <c r="AD41" i="3" s="1"/>
  <c r="AD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vbuchtova</author>
  </authors>
  <commentList>
    <comment ref="X16" authorId="0" shapeId="0" xr:uid="{D98983E8-EC33-4417-9E15-A538CA071D7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7" authorId="0" shapeId="0" xr:uid="{23088D3B-7D39-4474-AA8F-B272557E26B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předpoklad UZ podle roku 2023 - uopřesnění částek až při projednávání rozpočtu</t>
        </r>
      </text>
    </comment>
    <comment ref="Y18" authorId="0" shapeId="0" xr:uid="{9DA87095-2255-4F51-A9D0-B926B268B3F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ropočer SR dle stavu k 21.6.2023 rozpočtu platného + 3539,6 NPO 14 na rok 2024
</t>
        </r>
      </text>
    </comment>
    <comment ref="Y20" authorId="0" shapeId="0" xr:uid="{5EBEC75B-6F26-4160-9811-D872F7292B6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převod OP jak -z 414 v předp. Výši čerpání 2024
</t>
        </r>
      </text>
    </comment>
    <comment ref="Z20" authorId="0" shapeId="0" xr:uid="{A758D7DF-3F47-4877-B11C-A334919407C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cerpání sponzor.+ 
</t>
        </r>
      </text>
    </comment>
    <comment ref="Z21" authorId="0" shapeId="0" xr:uid="{90881E3F-052D-40DA-926A-1D22C982589C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včetně úroků z poolu</t>
        </r>
      </text>
    </comment>
    <comment ref="X29" authorId="0" shapeId="0" xr:uid="{960EC965-3B0B-4F0B-A025-14C2BBF2EEB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z UZ akce školy a prvence 29,8 
,tis.  A dílny z UZ 702 5.tis
</t>
        </r>
      </text>
    </comment>
    <comment ref="Y29" authorId="0" shapeId="0" xr:uid="{A0F28023-8B7A-49C4-AE49-68588C33736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140 učebnice
</t>
        </r>
      </text>
    </comment>
    <comment ref="X31" authorId="0" shapeId="0" xr:uid="{F269055A-20B8-4795-8B62-8F35F97DD3E5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UZ prevence a akce školy 36+20
</t>
        </r>
      </text>
    </comment>
    <comment ref="Y31" authorId="0" shapeId="0" xr:uid="{4F9AA7A8-3BB2-4FCD-A10B-C182B9FF9D1E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95tis</t>
        </r>
      </text>
    </comment>
    <comment ref="X33" authorId="0" shapeId="0" xr:uid="{D3FAE88E-7312-4497-A636-7C711044B8AD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podle UZ z 2023 701+702</t>
        </r>
      </text>
    </comment>
    <comment ref="Y33" authorId="0" shapeId="0" xr:uid="{CB112922-846B-47E3-8AC2-A605AD768774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31323,6 dle stavu k 21.6.2023
</t>
        </r>
      </text>
    </comment>
    <comment ref="Y34" authorId="0" shapeId="0" xr:uid="{1A378E37-466A-46F6-91B7-BF81D63F21F2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120 ze SR</t>
        </r>
      </text>
    </comment>
    <comment ref="X35" authorId="0" shapeId="0" xr:uid="{AC2289FD-221A-46BB-A40F-CB35AC9264D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z dohod + UZ 701+702 
</t>
        </r>
      </text>
    </comment>
    <comment ref="Y35" authorId="0" shapeId="0" xr:uid="{30A0E88E-64E9-4945-8765-01AE8D163071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dle rozpočtu k 21.6.2023 
</t>
        </r>
      </text>
    </comment>
    <comment ref="Z36" authorId="0" shapeId="0" xr:uid="{2321BAC3-993E-4422-8559-675E3505526F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srážková z účasti v pooll</t>
        </r>
      </text>
    </comment>
    <comment ref="X38" authorId="0" shapeId="0" xr:uid="{86F70A33-A3AA-4C44-8BD2-B2BC0A271B67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5,8 z UZ 701+702
jinak ostatní 5 z návrhu rozpočtu
</t>
        </r>
      </text>
    </comment>
    <comment ref="Y38" authorId="0" shapeId="0" xr:uid="{63A67B56-E224-4EF3-88CB-777BE8035056}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- fksp jen 1% z platného k 1.6.2023 - protože se předpokládáv 2024 snížení na 1%
</t>
        </r>
      </text>
    </comment>
  </commentList>
</comments>
</file>

<file path=xl/sharedStrings.xml><?xml version="1.0" encoding="utf-8"?>
<sst xmlns="http://schemas.openxmlformats.org/spreadsheetml/2006/main" count="215" uniqueCount="127">
  <si>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</si>
  <si>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</si>
  <si>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</si>
  <si>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</si>
  <si>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</si>
  <si>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</si>
  <si>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</si>
  <si>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</si>
  <si>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</si>
  <si>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</si>
  <si>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</si>
  <si>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</si>
  <si>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</si>
  <si>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</si>
  <si>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</si>
  <si>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</si>
  <si>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</si>
  <si>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</si>
  <si>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</si>
  <si>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</si>
  <si>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</si>
  <si>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</si>
  <si>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</si>
  <si>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</si>
  <si>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</si>
  <si>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</si>
  <si>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</si>
  <si>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</si>
  <si>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</si>
  <si>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</si>
  <si>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</si>
  <si>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</si>
  <si>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</si>
  <si>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</si>
  <si>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</si>
  <si>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</si>
  <si>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</si>
  <si>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</si>
  <si>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</si>
  <si>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</si>
  <si>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</si>
  <si>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</si>
  <si>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</si>
  <si>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</si>
  <si>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</si>
  <si>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</si>
  <si>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</si>
  <si>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</si>
  <si>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</si>
  <si>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</si>
  <si>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</si>
  <si>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</si>
  <si>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</si>
  <si>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</si>
  <si>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</si>
  <si>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</si>
  <si>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</si>
  <si>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</si>
  <si>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</si>
  <si>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</si>
  <si>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</si>
  <si>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</si>
  <si>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</si>
  <si>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</si>
  <si>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</si>
  <si>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</si>
  <si>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</si>
  <si>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</si>
  <si>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</si>
  <si>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</si>
  <si>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</si>
  <si>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</si>
  <si>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</si>
  <si>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</si>
  <si>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</si>
  <si>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</si>
  <si>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</si>
  <si>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</si>
  <si>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</si>
  <si>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</si>
  <si>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</si>
  <si>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</si>
  <si>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</si>
  <si>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</si>
  <si>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</si>
  <si>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</si>
  <si>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</si>
  <si>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</si>
  <si>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</si>
  <si>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</si>
  <si>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</si>
  <si>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</si>
  <si>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</si>
  <si>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</si>
  <si>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</si>
  <si>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</si>
  <si>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</si>
  <si>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</si>
  <si>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Základní škola Chomutov, Březenecká 4679</t>
  </si>
  <si>
    <t>Březenecká 4679, Chomutov 43004</t>
  </si>
  <si>
    <t>k 30.6.</t>
  </si>
  <si>
    <t>Ing. Vladimíra Nováková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</si>
  <si>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</si>
  <si>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>Bc. Michaela Adamová</t>
  </si>
  <si>
    <t>Skutečnost k 30.6.2024</t>
  </si>
  <si>
    <t>Skutečnost k 31.12.2023</t>
  </si>
  <si>
    <t>Porovnání s rokem 2024</t>
  </si>
  <si>
    <t>Schválený rozpočet (plán NaV 2024 navýšené energie )</t>
  </si>
  <si>
    <t>dílčí přesto předpokládané zvýšení cen za odvoz odpadů, a ostatních pravidelných služeb a potřebných oprav majetku</t>
  </si>
  <si>
    <t>požadované navýšení provozního rozpočtu vychází ze skutečnosti , že v letech 2022 i 2023 byl škrcený schválený provozní příspěvek zřizovatele nedostatečný - a výdaje byly dotovány z HČ</t>
  </si>
  <si>
    <t>v roce 2025 nelze spoléhat na stejnou výši přípsaných úroků - tj. výnosů organizace v návaznosti na změny sazby PRIBOR vyhlašované ČNB a tím dostatečné rezervy na dokrytí provozního rozpočtu organizace.</t>
  </si>
  <si>
    <r>
      <t xml:space="preserve">pojištení odpovědnosti </t>
    </r>
    <r>
      <rPr>
        <sz val="14"/>
        <rFont val="Calibri"/>
        <family val="2"/>
        <charset val="238"/>
        <scheme val="minor"/>
      </rPr>
      <t>v návaznosti na vysokém plnění  o cca  100%</t>
    </r>
  </si>
  <si>
    <r>
      <t xml:space="preserve">ČNB předpokládá další snižování sazeb i v roce 2025 - odhad snížení výnosů při pokračování snižování sazeb 1M Pribor v roce 2025 - je cca </t>
    </r>
    <r>
      <rPr>
        <b/>
        <sz val="14"/>
        <color theme="1"/>
        <rFont val="Calibri"/>
        <family val="2"/>
        <charset val="238"/>
        <scheme val="minor"/>
      </rPr>
      <t>úbytek  150-200 tis.</t>
    </r>
    <r>
      <rPr>
        <sz val="14"/>
        <color theme="1"/>
        <rFont val="Calibri"/>
        <family val="2"/>
        <charset val="238"/>
        <scheme val="minor"/>
      </rPr>
      <t xml:space="preserve"> v návaznosti zůstatku účtů a případných dalších získaných peněz z dotací , které nelze teď odhadnout. </t>
    </r>
  </si>
  <si>
    <r>
      <t>ENERGIE :  voda</t>
    </r>
    <r>
      <rPr>
        <sz val="14"/>
        <rFont val="Calibri"/>
        <family val="2"/>
        <charset val="238"/>
        <scheme val="minor"/>
      </rPr>
      <t xml:space="preserve"> - předpokládaný vývoj - každoroční navýšení o </t>
    </r>
    <r>
      <rPr>
        <b/>
        <sz val="14"/>
        <rFont val="Calibri"/>
        <family val="2"/>
        <charset val="238"/>
        <scheme val="minor"/>
      </rPr>
      <t xml:space="preserve">cca 3 Kč m3 </t>
    </r>
    <r>
      <rPr>
        <sz val="14"/>
        <rFont val="Calibri"/>
        <family val="2"/>
        <charset val="238"/>
        <scheme val="minor"/>
      </rPr>
      <t xml:space="preserve">(bez DPH) předpokládá navýšení výdaje o </t>
    </r>
    <r>
      <rPr>
        <b/>
        <sz val="14"/>
        <rFont val="Calibri"/>
        <family val="2"/>
        <charset val="238"/>
        <scheme val="minor"/>
      </rPr>
      <t xml:space="preserve">30 tis./rok </t>
    </r>
  </si>
  <si>
    <r>
      <t xml:space="preserve">                </t>
    </r>
    <r>
      <rPr>
        <b/>
        <sz val="14"/>
        <rFont val="Calibri"/>
        <family val="2"/>
        <charset val="238"/>
        <scheme val="minor"/>
      </rPr>
      <t xml:space="preserve">   TUV a UV-</t>
    </r>
    <r>
      <rPr>
        <sz val="14"/>
        <rFont val="Calibri"/>
        <family val="2"/>
        <charset val="238"/>
        <scheme val="minor"/>
      </rPr>
      <t xml:space="preserve"> navýšení v návaznosti na zýšení cen vstupní vody  a dalších nákladů cca o 130K (bez DPH) za GJ o </t>
    </r>
    <r>
      <rPr>
        <b/>
        <sz val="14"/>
        <rFont val="Calibri"/>
        <family val="2"/>
        <charset val="238"/>
        <scheme val="minor"/>
      </rPr>
      <t>cca 400 tis.</t>
    </r>
  </si>
  <si>
    <r>
      <rPr>
        <b/>
        <sz val="14"/>
        <rFont val="Calibri"/>
        <family val="2"/>
        <charset val="238"/>
        <scheme val="minor"/>
      </rPr>
      <t xml:space="preserve">  el. energie</t>
    </r>
    <r>
      <rPr>
        <sz val="14"/>
        <rFont val="Calibri"/>
        <family val="2"/>
        <charset val="238"/>
        <scheme val="minor"/>
      </rPr>
      <t xml:space="preserve"> - snížení dojednané ceny na rok 2025-26 z  3976,-   Kč bez DPH (v roce 2024 ) na MWh na 2314,-  Kč bez DPH na MWh - tvoří pouze dílčí část konečné ceny - předpokládaný dopad je snížení </t>
    </r>
    <r>
      <rPr>
        <b/>
        <sz val="14"/>
        <rFont val="Calibri"/>
        <family val="2"/>
        <charset val="238"/>
        <scheme val="minor"/>
      </rPr>
      <t>o 180 tisíc</t>
    </r>
    <r>
      <rPr>
        <sz val="14"/>
        <rFont val="Calibri"/>
        <family val="2"/>
        <charset val="238"/>
        <scheme val="minor"/>
      </rPr>
      <t xml:space="preserve"> </t>
    </r>
  </si>
  <si>
    <r>
      <t>SLUŽBY :   stočné a srážky</t>
    </r>
    <r>
      <rPr>
        <sz val="14"/>
        <rFont val="Calibri"/>
        <family val="2"/>
        <charset val="238"/>
        <scheme val="minor"/>
      </rPr>
      <t xml:space="preserve"> v návaznosti se zdražováním vodného  cca</t>
    </r>
    <r>
      <rPr>
        <b/>
        <sz val="14"/>
        <rFont val="Calibri"/>
        <family val="2"/>
        <charset val="238"/>
        <scheme val="minor"/>
      </rPr>
      <t xml:space="preserve"> 40 tis.</t>
    </r>
  </si>
  <si>
    <r>
      <rPr>
        <b/>
        <sz val="14"/>
        <rFont val="Calibri"/>
        <family val="2"/>
        <charset val="238"/>
        <scheme val="minor"/>
      </rPr>
      <t>servis SW</t>
    </r>
    <r>
      <rPr>
        <sz val="14"/>
        <rFont val="Calibri"/>
        <family val="2"/>
        <charset val="238"/>
        <scheme val="minor"/>
      </rPr>
      <t xml:space="preserve"> - reflektuje navýšení dig. techniky a práci technika IT </t>
    </r>
    <r>
      <rPr>
        <b/>
        <sz val="14"/>
        <rFont val="Calibri"/>
        <family val="2"/>
        <charset val="238"/>
        <scheme val="minor"/>
      </rPr>
      <t xml:space="preserve"> cca 70 tis. </t>
    </r>
  </si>
  <si>
    <t>Nákladové položky podrobněji :</t>
  </si>
  <si>
    <r>
      <t xml:space="preserve">      </t>
    </r>
    <r>
      <rPr>
        <b/>
        <sz val="14"/>
        <color theme="1"/>
        <rFont val="Calibri"/>
        <family val="2"/>
        <charset val="238"/>
        <scheme val="minor"/>
      </rPr>
      <t>v roce 2022 chybělo :  166,6 tis. a v roce 2023 chybělo : 174 tis</t>
    </r>
    <r>
      <rPr>
        <sz val="14"/>
        <color theme="1"/>
        <rFont val="Calibri"/>
        <family val="2"/>
        <charset val="238"/>
        <scheme val="minor"/>
      </rPr>
      <t>.  Provozní náklady byly dokryty z  HČ ( zejména sjednáním úročení účtů ve skupině zřizovatele - pool)</t>
    </r>
  </si>
  <si>
    <t>Provozní rozpočet na rok 2025 vychází  ze skutečných nákladů roku 2023 a pololetí 2024 upravený o předpokládané změny  cen zejména ve službách, energiích, materiálu. Celkové navýšení v předpokládané výši 586 tis.</t>
  </si>
  <si>
    <r>
      <t xml:space="preserve"> Dále v roce 2024 došlo ke zvýšení srážkové daně z příjmu   PO </t>
    </r>
    <r>
      <rPr>
        <b/>
        <sz val="14"/>
        <color theme="1"/>
        <rFont val="Calibri"/>
        <family val="2"/>
        <charset val="238"/>
        <scheme val="minor"/>
      </rPr>
      <t xml:space="preserve">z 19% na 21% </t>
    </r>
  </si>
  <si>
    <t>Návrh rozpočtu 2025</t>
  </si>
  <si>
    <t>V oblasti nákladů na energie nelze již více škrtat, ke snížení se přistoupili v oblasti služeb, materiálu, oprav - jen nutných, dle předpisu nebo s rezervou na havarijní opravy. Škrty v oblasti pořízení vybavení na minimum, které nelze hradit z ONIV - nejsou učební pomůcky.</t>
  </si>
  <si>
    <t xml:space="preserve">  </t>
  </si>
  <si>
    <r>
      <t xml:space="preserve">MATERIÁL :  </t>
    </r>
    <r>
      <rPr>
        <sz val="14"/>
        <rFont val="Calibri"/>
        <family val="2"/>
        <charset val="238"/>
        <scheme val="minor"/>
      </rPr>
      <t xml:space="preserve">upraveny některé položky spotřeby materiálu a </t>
    </r>
    <r>
      <rPr>
        <b/>
        <sz val="14"/>
        <rFont val="Calibri"/>
        <family val="2"/>
        <charset val="238"/>
        <scheme val="minor"/>
      </rPr>
      <t xml:space="preserve">to zejména  na drobné opravy a údržbu. </t>
    </r>
  </si>
  <si>
    <t>Plán 2025 upravený 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</si>
</sst>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#,##0.0_ ;[Red]\-#,##0.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164" fontId="23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0" fontId="7" fillId="0" borderId="0" xfId="2" applyFont="1"/>
    <xf numFmtId="0" fontId="0" fillId="8" borderId="0" xfId="0" applyFill="1"/>
    <xf numFmtId="10" fontId="0" fillId="8" borderId="0" xfId="0" applyNumberFormat="1" applyFill="1"/>
    <xf numFmtId="0" fontId="2" fillId="8" borderId="0" xfId="0" applyFont="1" applyFill="1"/>
    <xf numFmtId="0" fontId="3" fillId="8" borderId="0" xfId="0" applyFont="1" applyFill="1"/>
    <xf numFmtId="0" fontId="3" fillId="0" borderId="50" xfId="0" applyFont="1" applyBorder="1"/>
    <xf numFmtId="0" fontId="3" fillId="0" borderId="50" xfId="0" applyFont="1" applyBorder="1" applyAlignment="1">
      <alignment horizontal="left" indent="5"/>
    </xf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36" xfId="0" applyBorder="1"/>
    <xf numFmtId="0" fontId="7" fillId="0" borderId="22" xfId="2" applyFont="1" applyBorder="1"/>
    <xf numFmtId="0" fontId="7" fillId="0" borderId="0" xfId="0" applyFont="1"/>
    <xf numFmtId="0" fontId="3" fillId="5" borderId="50" xfId="0" applyFont="1" applyFill="1" applyBorder="1"/>
    <xf numFmtId="0" fontId="3" fillId="0" borderId="50" xfId="0" applyFont="1" applyBorder="1" applyAlignment="1">
      <alignment horizontal="left"/>
    </xf>
    <xf numFmtId="0" fontId="4" fillId="0" borderId="1" xfId="0" applyFont="1" applyBorder="1"/>
    <xf numFmtId="0" fontId="7" fillId="0" borderId="8" xfId="2" applyFont="1" applyBorder="1"/>
    <xf numFmtId="0" fontId="7" fillId="0" borderId="52" xfId="0" applyFont="1" applyBorder="1"/>
    <xf numFmtId="0" fontId="7" fillId="0" borderId="52" xfId="2" applyFont="1" applyBorder="1"/>
    <xf numFmtId="0" fontId="7" fillId="8" borderId="0" xfId="0" applyFont="1" applyFill="1"/>
    <xf numFmtId="0" fontId="7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" fillId="0" borderId="52" xfId="0" applyFont="1" applyBorder="1" applyAlignment="1" applyProtection="1">
      <alignment horizontal="left"/>
      <protection locked="0"/>
    </xf>
    <xf numFmtId="10" fontId="3" fillId="0" borderId="23" xfId="0" applyNumberFormat="1" applyFont="1" applyBorder="1"/>
    <xf numFmtId="10" fontId="3" fillId="0" borderId="14" xfId="0" applyNumberFormat="1" applyFont="1" applyBorder="1"/>
    <xf numFmtId="10" fontId="3" fillId="3" borderId="3" xfId="0" applyNumberFormat="1" applyFont="1" applyFill="1" applyBorder="1"/>
    <xf numFmtId="10" fontId="3" fillId="5" borderId="3" xfId="0" applyNumberFormat="1" applyFont="1" applyFill="1" applyBorder="1"/>
    <xf numFmtId="10" fontId="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165" fontId="4" fillId="0" borderId="1" xfId="0" applyNumberFormat="1" applyFont="1" applyBorder="1"/>
    <xf numFmtId="165" fontId="4" fillId="8" borderId="0" xfId="0" applyNumberFormat="1" applyFont="1" applyFill="1"/>
    <xf numFmtId="165" fontId="4" fillId="8" borderId="0" xfId="0" applyNumberFormat="1" applyFont="1" applyFill="1" applyAlignment="1" applyProtection="1">
      <alignment horizontal="right"/>
      <protection locked="0"/>
    </xf>
    <xf numFmtId="165" fontId="4" fillId="12" borderId="1" xfId="0" applyNumberFormat="1" applyFont="1" applyFill="1" applyBorder="1" applyAlignment="1">
      <alignment horizontal="center"/>
    </xf>
    <xf numFmtId="165" fontId="12" fillId="8" borderId="0" xfId="0" applyNumberFormat="1" applyFont="1" applyFill="1" applyAlignment="1">
      <alignment horizontal="right"/>
    </xf>
    <xf numFmtId="165" fontId="4" fillId="8" borderId="0" xfId="0" applyNumberFormat="1" applyFont="1" applyFill="1" applyAlignment="1">
      <alignment horizontal="center"/>
    </xf>
    <xf numFmtId="165" fontId="4" fillId="0" borderId="1" xfId="0" applyNumberFormat="1" applyFont="1" applyBorder="1" applyProtection="1">
      <protection locked="0"/>
    </xf>
    <xf numFmtId="165" fontId="3" fillId="13" borderId="52" xfId="0" applyNumberFormat="1" applyFont="1" applyFill="1" applyBorder="1" applyAlignment="1" applyProtection="1">
      <alignment horizontal="right"/>
      <protection locked="0"/>
    </xf>
    <xf numFmtId="165" fontId="3" fillId="13" borderId="62" xfId="0" applyNumberFormat="1" applyFont="1" applyFill="1" applyBorder="1" applyAlignment="1" applyProtection="1">
      <alignment horizontal="right"/>
      <protection locked="0"/>
    </xf>
    <xf numFmtId="165" fontId="3" fillId="0" borderId="23" xfId="0" applyNumberFormat="1" applyFont="1" applyBorder="1" applyAlignment="1">
      <alignment horizontal="right"/>
    </xf>
    <xf numFmtId="165" fontId="3" fillId="13" borderId="60" xfId="0" applyNumberFormat="1" applyFont="1" applyFill="1" applyBorder="1" applyAlignment="1" applyProtection="1">
      <alignment horizontal="right"/>
      <protection locked="0"/>
    </xf>
    <xf numFmtId="165" fontId="3" fillId="13" borderId="39" xfId="0" applyNumberFormat="1" applyFont="1" applyFill="1" applyBorder="1" applyAlignment="1" applyProtection="1">
      <alignment horizontal="right"/>
      <protection locked="0"/>
    </xf>
    <xf numFmtId="165" fontId="3" fillId="0" borderId="14" xfId="0" applyNumberFormat="1" applyFont="1" applyBorder="1" applyAlignment="1">
      <alignment horizontal="right"/>
    </xf>
    <xf numFmtId="165" fontId="4" fillId="3" borderId="25" xfId="0" applyNumberFormat="1" applyFont="1" applyFill="1" applyBorder="1" applyAlignment="1">
      <alignment horizontal="right"/>
    </xf>
    <xf numFmtId="165" fontId="4" fillId="3" borderId="26" xfId="0" applyNumberFormat="1" applyFont="1" applyFill="1" applyBorder="1" applyAlignment="1">
      <alignment horizontal="right"/>
    </xf>
    <xf numFmtId="165" fontId="4" fillId="3" borderId="29" xfId="0" applyNumberFormat="1" applyFont="1" applyFill="1" applyBorder="1" applyAlignment="1">
      <alignment horizontal="right"/>
    </xf>
    <xf numFmtId="165" fontId="4" fillId="3" borderId="42" xfId="0" applyNumberFormat="1" applyFont="1" applyFill="1" applyBorder="1" applyAlignment="1">
      <alignment horizontal="right"/>
    </xf>
    <xf numFmtId="165" fontId="4" fillId="3" borderId="56" xfId="0" applyNumberFormat="1" applyFont="1" applyFill="1" applyBorder="1" applyAlignment="1">
      <alignment horizontal="right"/>
    </xf>
    <xf numFmtId="165" fontId="4" fillId="3" borderId="30" xfId="0" applyNumberFormat="1" applyFont="1" applyFill="1" applyBorder="1" applyAlignment="1">
      <alignment horizontal="right"/>
    </xf>
    <xf numFmtId="0" fontId="4" fillId="13" borderId="5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165" fontId="3" fillId="0" borderId="61" xfId="0" applyNumberFormat="1" applyFont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65" fontId="3" fillId="13" borderId="63" xfId="0" applyNumberFormat="1" applyFont="1" applyFill="1" applyBorder="1" applyProtection="1">
      <protection locked="0"/>
    </xf>
    <xf numFmtId="165" fontId="3" fillId="13" borderId="55" xfId="0" applyNumberFormat="1" applyFont="1" applyFill="1" applyBorder="1" applyProtection="1">
      <protection locked="0"/>
    </xf>
    <xf numFmtId="165" fontId="3" fillId="0" borderId="13" xfId="0" applyNumberFormat="1" applyFont="1" applyBorder="1" applyAlignment="1">
      <alignment horizontal="right"/>
    </xf>
    <xf numFmtId="165" fontId="3" fillId="13" borderId="60" xfId="0" applyNumberFormat="1" applyFont="1" applyFill="1" applyBorder="1" applyProtection="1">
      <protection locked="0"/>
    </xf>
    <xf numFmtId="165" fontId="3" fillId="13" borderId="54" xfId="0" applyNumberFormat="1" applyFont="1" applyFill="1" applyBorder="1" applyProtection="1">
      <protection locked="0"/>
    </xf>
    <xf numFmtId="165" fontId="3" fillId="13" borderId="39" xfId="0" applyNumberFormat="1" applyFont="1" applyFill="1" applyBorder="1" applyProtection="1">
      <protection locked="0"/>
    </xf>
    <xf numFmtId="165" fontId="3" fillId="13" borderId="57" xfId="0" applyNumberFormat="1" applyFont="1" applyFill="1" applyBorder="1" applyProtection="1">
      <protection locked="0"/>
    </xf>
    <xf numFmtId="165" fontId="4" fillId="5" borderId="34" xfId="0" applyNumberFormat="1" applyFont="1" applyFill="1" applyBorder="1"/>
    <xf numFmtId="165" fontId="3" fillId="5" borderId="63" xfId="0" applyNumberFormat="1" applyFont="1" applyFill="1" applyBorder="1" applyProtection="1">
      <protection locked="0"/>
    </xf>
    <xf numFmtId="165" fontId="3" fillId="5" borderId="59" xfId="0" applyNumberFormat="1" applyFont="1" applyFill="1" applyBorder="1" applyProtection="1">
      <protection locked="0"/>
    </xf>
    <xf numFmtId="165" fontId="3" fillId="5" borderId="53" xfId="0" applyNumberFormat="1" applyFont="1" applyFill="1" applyBorder="1" applyProtection="1">
      <protection locked="0"/>
    </xf>
    <xf numFmtId="165" fontId="4" fillId="5" borderId="56" xfId="0" applyNumberFormat="1" applyFont="1" applyFill="1" applyBorder="1"/>
    <xf numFmtId="165" fontId="4" fillId="5" borderId="3" xfId="0" applyNumberFormat="1" applyFont="1" applyFill="1" applyBorder="1"/>
    <xf numFmtId="165" fontId="3" fillId="5" borderId="55" xfId="0" applyNumberFormat="1" applyFont="1" applyFill="1" applyBorder="1" applyProtection="1">
      <protection locked="0"/>
    </xf>
    <xf numFmtId="165" fontId="4" fillId="0" borderId="31" xfId="0" applyNumberFormat="1" applyFont="1" applyBorder="1" applyProtection="1">
      <protection locked="0"/>
    </xf>
    <xf numFmtId="165" fontId="4" fillId="0" borderId="20" xfId="0" applyNumberFormat="1" applyFont="1" applyBorder="1" applyProtection="1">
      <protection locked="0"/>
    </xf>
    <xf numFmtId="165" fontId="4" fillId="8" borderId="0" xfId="0" applyNumberFormat="1" applyFont="1" applyFill="1" applyProtection="1">
      <protection locked="0"/>
    </xf>
    <xf numFmtId="165" fontId="15" fillId="14" borderId="34" xfId="0" applyNumberFormat="1" applyFont="1" applyFill="1" applyBorder="1" applyAlignment="1" applyProtection="1">
      <alignment horizontal="center" wrapText="1"/>
      <protection locked="0"/>
    </xf>
    <xf numFmtId="165" fontId="15" fillId="14" borderId="19" xfId="0" applyNumberFormat="1" applyFont="1" applyFill="1" applyBorder="1" applyAlignment="1">
      <alignment horizontal="center" wrapText="1"/>
    </xf>
    <xf numFmtId="165" fontId="15" fillId="8" borderId="0" xfId="0" applyNumberFormat="1" applyFont="1" applyFill="1" applyAlignment="1">
      <alignment horizontal="center" vertical="center" wrapText="1"/>
    </xf>
    <xf numFmtId="165" fontId="4" fillId="0" borderId="4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3" fillId="0" borderId="7" xfId="0" applyNumberFormat="1" applyFont="1" applyBorder="1" applyProtection="1">
      <protection locked="0"/>
    </xf>
    <xf numFmtId="165" fontId="3" fillId="0" borderId="55" xfId="0" applyNumberFormat="1" applyFont="1" applyBorder="1" applyProtection="1">
      <protection locked="0"/>
    </xf>
    <xf numFmtId="165" fontId="3" fillId="0" borderId="2" xfId="0" applyNumberFormat="1" applyFont="1" applyBorder="1" applyProtection="1">
      <protection locked="0"/>
    </xf>
    <xf numFmtId="165" fontId="3" fillId="0" borderId="60" xfId="0" applyNumberFormat="1" applyFont="1" applyBorder="1" applyProtection="1">
      <protection locked="0"/>
    </xf>
    <xf numFmtId="165" fontId="3" fillId="0" borderId="54" xfId="0" applyNumberFormat="1" applyFont="1" applyBorder="1" applyProtection="1">
      <protection locked="0"/>
    </xf>
    <xf numFmtId="165" fontId="3" fillId="0" borderId="40" xfId="0" applyNumberFormat="1" applyFont="1" applyBorder="1" applyProtection="1">
      <protection locked="0"/>
    </xf>
    <xf numFmtId="165" fontId="3" fillId="0" borderId="57" xfId="0" applyNumberFormat="1" applyFont="1" applyBorder="1" applyProtection="1">
      <protection locked="0"/>
    </xf>
    <xf numFmtId="165" fontId="3" fillId="11" borderId="51" xfId="0" applyNumberFormat="1" applyFont="1" applyFill="1" applyBorder="1" applyAlignment="1">
      <alignment horizontal="right"/>
    </xf>
    <xf numFmtId="165" fontId="3" fillId="11" borderId="9" xfId="0" applyNumberFormat="1" applyFont="1" applyFill="1" applyBorder="1" applyAlignment="1">
      <alignment horizontal="right"/>
    </xf>
    <xf numFmtId="165" fontId="3" fillId="0" borderId="8" xfId="0" applyNumberFormat="1" applyFont="1" applyBorder="1" applyAlignment="1" applyProtection="1">
      <alignment horizontal="right"/>
      <protection locked="0"/>
    </xf>
    <xf numFmtId="165" fontId="3" fillId="0" borderId="23" xfId="0" applyNumberFormat="1" applyFont="1" applyBorder="1" applyAlignment="1" applyProtection="1">
      <alignment horizontal="right"/>
      <protection locked="0"/>
    </xf>
    <xf numFmtId="165" fontId="3" fillId="10" borderId="49" xfId="0" applyNumberFormat="1" applyFont="1" applyFill="1" applyBorder="1" applyAlignment="1" applyProtection="1">
      <alignment horizontal="right"/>
      <protection locked="0"/>
    </xf>
    <xf numFmtId="165" fontId="3" fillId="11" borderId="1" xfId="0" applyNumberFormat="1" applyFont="1" applyFill="1" applyBorder="1" applyAlignment="1">
      <alignment horizontal="right"/>
    </xf>
    <xf numFmtId="165" fontId="3" fillId="2" borderId="23" xfId="0" applyNumberFormat="1" applyFont="1" applyFill="1" applyBorder="1" applyAlignment="1" applyProtection="1">
      <alignment horizontal="right"/>
      <protection locked="0"/>
    </xf>
    <xf numFmtId="165" fontId="3" fillId="2" borderId="15" xfId="0" applyNumberFormat="1" applyFont="1" applyFill="1" applyBorder="1" applyAlignment="1" applyProtection="1">
      <alignment horizontal="right"/>
      <protection locked="0"/>
    </xf>
    <xf numFmtId="165" fontId="3" fillId="11" borderId="4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 applyProtection="1">
      <alignment horizontal="right"/>
      <protection locked="0"/>
    </xf>
    <xf numFmtId="165" fontId="3" fillId="0" borderId="43" xfId="0" applyNumberFormat="1" applyFont="1" applyBorder="1" applyAlignment="1" applyProtection="1">
      <alignment horizontal="right"/>
      <protection locked="0"/>
    </xf>
    <xf numFmtId="165" fontId="3" fillId="0" borderId="15" xfId="0" applyNumberFormat="1" applyFont="1" applyBorder="1" applyAlignment="1" applyProtection="1">
      <alignment horizontal="right"/>
      <protection locked="0"/>
    </xf>
    <xf numFmtId="165" fontId="3" fillId="11" borderId="11" xfId="0" applyNumberFormat="1" applyFont="1" applyFill="1" applyBorder="1" applyAlignment="1">
      <alignment horizontal="right"/>
    </xf>
    <xf numFmtId="165" fontId="3" fillId="11" borderId="44" xfId="0" applyNumberFormat="1" applyFont="1" applyFill="1" applyBorder="1" applyAlignment="1">
      <alignment horizontal="right"/>
    </xf>
    <xf numFmtId="165" fontId="3" fillId="0" borderId="44" xfId="0" applyNumberFormat="1" applyFont="1" applyBorder="1" applyAlignment="1" applyProtection="1">
      <alignment horizontal="right"/>
      <protection locked="0"/>
    </xf>
    <xf numFmtId="165" fontId="3" fillId="0" borderId="16" xfId="0" applyNumberFormat="1" applyFont="1" applyBorder="1" applyAlignment="1" applyProtection="1">
      <alignment horizontal="right"/>
      <protection locked="0"/>
    </xf>
    <xf numFmtId="165" fontId="3" fillId="0" borderId="12" xfId="0" applyNumberFormat="1" applyFont="1" applyBorder="1" applyAlignment="1" applyProtection="1">
      <alignment horizontal="right"/>
      <protection locked="0"/>
    </xf>
    <xf numFmtId="165" fontId="3" fillId="0" borderId="49" xfId="0" applyNumberFormat="1" applyFont="1" applyBorder="1" applyProtection="1">
      <protection locked="0"/>
    </xf>
    <xf numFmtId="0" fontId="4" fillId="4" borderId="30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4" fillId="0" borderId="32" xfId="0" applyNumberFormat="1" applyFont="1" applyBorder="1" applyProtection="1">
      <protection locked="0"/>
    </xf>
    <xf numFmtId="0" fontId="4" fillId="4" borderId="5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9" xfId="0" applyFont="1" applyBorder="1" applyAlignment="1">
      <alignment horizontal="center"/>
    </xf>
    <xf numFmtId="0" fontId="3" fillId="10" borderId="50" xfId="0" applyFont="1" applyFill="1" applyBorder="1"/>
    <xf numFmtId="0" fontId="3" fillId="0" borderId="45" xfId="0" applyFont="1" applyBorder="1" applyAlignment="1">
      <alignment horizontal="center"/>
    </xf>
    <xf numFmtId="0" fontId="3" fillId="0" borderId="6" xfId="0" applyFont="1" applyBorder="1" applyAlignment="1">
      <alignment horizontal="left" indent="5"/>
    </xf>
    <xf numFmtId="0" fontId="4" fillId="0" borderId="3" xfId="0" applyFont="1" applyBorder="1" applyAlignment="1">
      <alignment horizontal="center"/>
    </xf>
    <xf numFmtId="0" fontId="4" fillId="3" borderId="59" xfId="0" applyFont="1" applyFill="1" applyBorder="1"/>
    <xf numFmtId="0" fontId="3" fillId="0" borderId="11" xfId="0" applyFont="1" applyBorder="1" applyAlignment="1">
      <alignment horizontal="center"/>
    </xf>
    <xf numFmtId="0" fontId="3" fillId="0" borderId="46" xfId="0" applyFont="1" applyBorder="1"/>
    <xf numFmtId="0" fontId="4" fillId="5" borderId="41" xfId="0" applyFont="1" applyFill="1" applyBorder="1"/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0" fontId="17" fillId="0" borderId="41" xfId="0" applyFont="1" applyBorder="1" applyAlignment="1">
      <alignment horizontal="center"/>
    </xf>
    <xf numFmtId="0" fontId="17" fillId="0" borderId="41" xfId="0" applyFont="1" applyBorder="1"/>
    <xf numFmtId="0" fontId="17" fillId="14" borderId="18" xfId="0" applyFont="1" applyFill="1" applyBorder="1"/>
    <xf numFmtId="165" fontId="12" fillId="14" borderId="35" xfId="0" applyNumberFormat="1" applyFont="1" applyFill="1" applyBorder="1"/>
    <xf numFmtId="166" fontId="17" fillId="7" borderId="3" xfId="0" applyNumberFormat="1" applyFont="1" applyFill="1" applyBorder="1"/>
    <xf numFmtId="165" fontId="12" fillId="14" borderId="19" xfId="0" applyNumberFormat="1" applyFont="1" applyFill="1" applyBorder="1"/>
    <xf numFmtId="0" fontId="3" fillId="8" borderId="0" xfId="0" applyFont="1" applyFill="1" applyAlignment="1">
      <alignment horizont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4" fillId="12" borderId="1" xfId="0" applyFont="1" applyFill="1" applyBorder="1"/>
    <xf numFmtId="0" fontId="4" fillId="13" borderId="0" xfId="0" applyFont="1" applyFill="1" applyAlignment="1" applyProtection="1">
      <alignment horizontal="left"/>
      <protection locked="0"/>
    </xf>
    <xf numFmtId="165" fontId="3" fillId="13" borderId="49" xfId="0" applyNumberFormat="1" applyFont="1" applyFill="1" applyBorder="1" applyProtection="1">
      <protection locked="0"/>
    </xf>
    <xf numFmtId="0" fontId="1" fillId="13" borderId="0" xfId="0" applyFont="1" applyFill="1" applyAlignment="1" applyProtection="1">
      <alignment horizontal="left"/>
      <protection locked="0"/>
    </xf>
    <xf numFmtId="2" fontId="3" fillId="0" borderId="2" xfId="0" applyNumberFormat="1" applyFont="1" applyBorder="1" applyProtection="1">
      <protection locked="0"/>
    </xf>
    <xf numFmtId="0" fontId="19" fillId="0" borderId="39" xfId="0" applyFont="1" applyBorder="1"/>
    <xf numFmtId="0" fontId="19" fillId="0" borderId="0" xfId="0" applyFont="1"/>
    <xf numFmtId="0" fontId="4" fillId="13" borderId="22" xfId="0" applyFont="1" applyFill="1" applyBorder="1" applyAlignment="1" applyProtection="1">
      <alignment horizontal="left"/>
      <protection locked="0"/>
    </xf>
    <xf numFmtId="0" fontId="7" fillId="13" borderId="22" xfId="2" applyFont="1" applyFill="1" applyBorder="1"/>
    <xf numFmtId="0" fontId="7" fillId="13" borderId="0" xfId="0" applyFont="1" applyFill="1"/>
    <xf numFmtId="0" fontId="7" fillId="13" borderId="0" xfId="2" applyFont="1" applyFill="1"/>
    <xf numFmtId="0" fontId="18" fillId="0" borderId="0" xfId="0" applyFont="1" applyAlignment="1" applyProtection="1">
      <alignment horizontal="left"/>
      <protection locked="0"/>
    </xf>
    <xf numFmtId="0" fontId="16" fillId="12" borderId="12" xfId="0" applyFont="1" applyFill="1" applyBorder="1" applyAlignment="1">
      <alignment horizontal="left"/>
    </xf>
    <xf numFmtId="0" fontId="16" fillId="12" borderId="39" xfId="0" applyFont="1" applyFill="1" applyBorder="1" applyAlignment="1">
      <alignment horizontal="left"/>
    </xf>
    <xf numFmtId="0" fontId="16" fillId="0" borderId="22" xfId="0" applyFont="1" applyBorder="1"/>
    <xf numFmtId="0" fontId="21" fillId="0" borderId="0" xfId="0" applyFont="1"/>
    <xf numFmtId="0" fontId="21" fillId="13" borderId="22" xfId="0" applyFont="1" applyFill="1" applyBorder="1" applyAlignment="1" applyProtection="1">
      <alignment horizontal="left"/>
      <protection locked="0"/>
    </xf>
    <xf numFmtId="0" fontId="22" fillId="0" borderId="0" xfId="0" applyFont="1"/>
    <xf numFmtId="10" fontId="22" fillId="0" borderId="0" xfId="0" applyNumberFormat="1" applyFont="1"/>
    <xf numFmtId="0" fontId="22" fillId="0" borderId="22" xfId="0" applyFont="1" applyBorder="1"/>
    <xf numFmtId="0" fontId="8" fillId="0" borderId="22" xfId="0" applyFont="1" applyBorder="1"/>
    <xf numFmtId="0" fontId="16" fillId="0" borderId="22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13" borderId="0" xfId="0" applyFont="1" applyFill="1" applyAlignment="1" applyProtection="1">
      <alignment horizontal="left"/>
      <protection locked="0"/>
    </xf>
    <xf numFmtId="0" fontId="16" fillId="13" borderId="0" xfId="0" applyFont="1" applyFill="1" applyAlignment="1" applyProtection="1">
      <alignment horizontal="left"/>
      <protection locked="0"/>
    </xf>
    <xf numFmtId="0" fontId="16" fillId="13" borderId="22" xfId="0" applyFont="1" applyFill="1" applyBorder="1" applyAlignment="1" applyProtection="1">
      <alignment horizontal="left"/>
      <protection locked="0"/>
    </xf>
    <xf numFmtId="14" fontId="1" fillId="13" borderId="0" xfId="0" applyNumberFormat="1" applyFont="1" applyFill="1" applyAlignment="1" applyProtection="1">
      <alignment horizontal="left"/>
      <protection locked="0"/>
    </xf>
    <xf numFmtId="165" fontId="3" fillId="16" borderId="49" xfId="0" applyNumberFormat="1" applyFont="1" applyFill="1" applyBorder="1" applyProtection="1">
      <protection locked="0"/>
    </xf>
    <xf numFmtId="165" fontId="3" fillId="0" borderId="53" xfId="0" applyNumberFormat="1" applyFont="1" applyBorder="1" applyAlignment="1">
      <alignment horizontal="center" vertical="center"/>
    </xf>
    <xf numFmtId="0" fontId="16" fillId="0" borderId="22" xfId="0" applyFont="1" applyBorder="1" applyProtection="1">
      <protection locked="0"/>
    </xf>
    <xf numFmtId="0" fontId="16" fillId="0" borderId="0" xfId="0" applyFont="1" applyProtection="1">
      <protection locked="0"/>
    </xf>
    <xf numFmtId="165" fontId="16" fillId="0" borderId="39" xfId="0" applyNumberFormat="1" applyFont="1" applyBorder="1" applyProtection="1">
      <protection locked="0"/>
    </xf>
    <xf numFmtId="0" fontId="20" fillId="0" borderId="22" xfId="0" applyFont="1" applyBorder="1" applyProtection="1">
      <protection locked="0"/>
    </xf>
    <xf numFmtId="0" fontId="20" fillId="0" borderId="0" xfId="0" applyFont="1" applyProtection="1">
      <protection locked="0"/>
    </xf>
    <xf numFmtId="164" fontId="3" fillId="8" borderId="0" xfId="3" applyFont="1" applyFill="1"/>
    <xf numFmtId="165" fontId="3" fillId="17" borderId="49" xfId="0" applyNumberFormat="1" applyFont="1" applyFill="1" applyBorder="1" applyAlignment="1" applyProtection="1">
      <alignment horizontal="right"/>
      <protection locked="0"/>
    </xf>
    <xf numFmtId="165" fontId="3" fillId="17" borderId="4" xfId="0" applyNumberFormat="1" applyFont="1" applyFill="1" applyBorder="1" applyProtection="1">
      <protection locked="0"/>
    </xf>
    <xf numFmtId="165" fontId="3" fillId="17" borderId="49" xfId="0" applyNumberFormat="1" applyFont="1" applyFill="1" applyBorder="1" applyProtection="1">
      <protection locked="0"/>
    </xf>
    <xf numFmtId="165" fontId="3" fillId="17" borderId="11" xfId="0" applyNumberFormat="1" applyFont="1" applyFill="1" applyBorder="1" applyProtection="1">
      <protection locked="0"/>
    </xf>
    <xf numFmtId="0" fontId="8" fillId="0" borderId="0" xfId="0" applyFont="1"/>
    <xf numFmtId="10" fontId="8" fillId="0" borderId="0" xfId="0" applyNumberFormat="1" applyFont="1"/>
    <xf numFmtId="165" fontId="3" fillId="0" borderId="59" xfId="0" applyNumberFormat="1" applyFont="1" applyBorder="1" applyAlignment="1">
      <alignment horizontal="center" vertical="center"/>
    </xf>
    <xf numFmtId="0" fontId="4" fillId="14" borderId="34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/>
    </xf>
    <xf numFmtId="165" fontId="3" fillId="0" borderId="9" xfId="0" applyNumberFormat="1" applyFont="1" applyBorder="1" applyAlignment="1" applyProtection="1">
      <alignment horizontal="right"/>
      <protection locked="0"/>
    </xf>
    <xf numFmtId="165" fontId="3" fillId="15" borderId="49" xfId="0" applyNumberFormat="1" applyFont="1" applyFill="1" applyBorder="1" applyAlignment="1" applyProtection="1">
      <alignment horizontal="right"/>
      <protection locked="0"/>
    </xf>
    <xf numFmtId="165" fontId="3" fillId="5" borderId="49" xfId="0" applyNumberFormat="1" applyFont="1" applyFill="1" applyBorder="1" applyAlignment="1" applyProtection="1">
      <alignment horizontal="right"/>
      <protection locked="0"/>
    </xf>
    <xf numFmtId="165" fontId="3" fillId="13" borderId="1" xfId="0" applyNumberFormat="1" applyFont="1" applyFill="1" applyBorder="1" applyAlignment="1" applyProtection="1">
      <alignment horizontal="right"/>
      <protection locked="0"/>
    </xf>
    <xf numFmtId="0" fontId="3" fillId="14" borderId="58" xfId="0" applyFont="1" applyFill="1" applyBorder="1" applyAlignment="1">
      <alignment horizontal="center"/>
    </xf>
    <xf numFmtId="0" fontId="4" fillId="14" borderId="59" xfId="0" applyFont="1" applyFill="1" applyBorder="1"/>
    <xf numFmtId="165" fontId="3" fillId="0" borderId="63" xfId="0" applyNumberFormat="1" applyFont="1" applyBorder="1" applyProtection="1">
      <protection locked="0"/>
    </xf>
    <xf numFmtId="165" fontId="3" fillId="0" borderId="4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9" xfId="0" applyFont="1" applyBorder="1" applyProtection="1">
      <protection locked="0"/>
    </xf>
    <xf numFmtId="2" fontId="3" fillId="0" borderId="40" xfId="0" applyNumberFormat="1" applyFont="1" applyBorder="1" applyProtection="1">
      <protection locked="0"/>
    </xf>
    <xf numFmtId="165" fontId="3" fillId="0" borderId="11" xfId="0" applyNumberFormat="1" applyFont="1" applyBorder="1" applyProtection="1">
      <protection locked="0"/>
    </xf>
    <xf numFmtId="2" fontId="4" fillId="5" borderId="34" xfId="0" applyNumberFormat="1" applyFont="1" applyFill="1" applyBorder="1"/>
    <xf numFmtId="166" fontId="16" fillId="6" borderId="38" xfId="0" applyNumberFormat="1" applyFont="1" applyFill="1" applyBorder="1"/>
    <xf numFmtId="166" fontId="16" fillId="9" borderId="38" xfId="0" applyNumberFormat="1" applyFont="1" applyFill="1" applyBorder="1"/>
    <xf numFmtId="166" fontId="16" fillId="9" borderId="39" xfId="0" applyNumberFormat="1" applyFont="1" applyFill="1" applyBorder="1"/>
    <xf numFmtId="166" fontId="16" fillId="9" borderId="30" xfId="0" applyNumberFormat="1" applyFont="1" applyFill="1" applyBorder="1"/>
    <xf numFmtId="165" fontId="12" fillId="14" borderId="34" xfId="0" applyNumberFormat="1" applyFont="1" applyFill="1" applyBorder="1" applyAlignment="1">
      <alignment horizontal="center"/>
    </xf>
    <xf numFmtId="165" fontId="12" fillId="14" borderId="18" xfId="0" applyNumberFormat="1" applyFont="1" applyFill="1" applyBorder="1"/>
    <xf numFmtId="0" fontId="17" fillId="14" borderId="35" xfId="0" applyFont="1" applyFill="1" applyBorder="1"/>
    <xf numFmtId="0" fontId="17" fillId="14" borderId="42" xfId="0" applyFont="1" applyFill="1" applyBorder="1"/>
    <xf numFmtId="165" fontId="4" fillId="14" borderId="34" xfId="0" applyNumberFormat="1" applyFont="1" applyFill="1" applyBorder="1" applyProtection="1">
      <protection locked="0"/>
    </xf>
    <xf numFmtId="165" fontId="4" fillId="14" borderId="18" xfId="0" applyNumberFormat="1" applyFont="1" applyFill="1" applyBorder="1"/>
    <xf numFmtId="165" fontId="4" fillId="14" borderId="19" xfId="0" applyNumberFormat="1" applyFont="1" applyFill="1" applyBorder="1"/>
    <xf numFmtId="165" fontId="4" fillId="13" borderId="31" xfId="0" applyNumberFormat="1" applyFont="1" applyFill="1" applyBorder="1" applyProtection="1"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165" fontId="4" fillId="13" borderId="1" xfId="0" applyNumberFormat="1" applyFont="1" applyFill="1" applyBorder="1" applyAlignment="1" applyProtection="1">
      <alignment horizontal="right"/>
      <protection locked="0"/>
    </xf>
    <xf numFmtId="0" fontId="4" fillId="13" borderId="1" xfId="0" applyFont="1" applyFill="1" applyBorder="1"/>
    <xf numFmtId="10" fontId="4" fillId="0" borderId="30" xfId="0" applyNumberFormat="1" applyFont="1" applyBorder="1" applyAlignment="1">
      <alignment horizontal="center" vertical="center" wrapText="1"/>
    </xf>
    <xf numFmtId="10" fontId="4" fillId="0" borderId="14" xfId="0" applyNumberFormat="1" applyFont="1" applyBorder="1" applyAlignment="1">
      <alignment horizontal="center" vertical="center" wrapText="1"/>
    </xf>
    <xf numFmtId="10" fontId="4" fillId="0" borderId="2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3" fillId="0" borderId="5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16" fillId="17" borderId="18" xfId="0" applyFont="1" applyFill="1" applyBorder="1" applyAlignment="1">
      <alignment horizontal="center" vertical="center"/>
    </xf>
    <xf numFmtId="0" fontId="16" fillId="17" borderId="19" xfId="0" applyFont="1" applyFill="1" applyBorder="1" applyAlignment="1">
      <alignment horizontal="center" vertical="center"/>
    </xf>
    <xf numFmtId="165" fontId="4" fillId="5" borderId="41" xfId="0" applyNumberFormat="1" applyFont="1" applyFill="1" applyBorder="1" applyAlignment="1">
      <alignment horizontal="center"/>
    </xf>
    <xf numFmtId="165" fontId="4" fillId="5" borderId="42" xfId="0" applyNumberFormat="1" applyFont="1" applyFill="1" applyBorder="1" applyAlignment="1">
      <alignment horizontal="center"/>
    </xf>
    <xf numFmtId="165" fontId="4" fillId="5" borderId="59" xfId="0" applyNumberFormat="1" applyFont="1" applyFill="1" applyBorder="1" applyAlignment="1">
      <alignment horizontal="center"/>
    </xf>
    <xf numFmtId="165" fontId="4" fillId="5" borderId="53" xfId="0" applyNumberFormat="1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12" borderId="58" xfId="0" applyFont="1" applyFill="1" applyBorder="1" applyAlignment="1">
      <alignment horizontal="left" vertical="center"/>
    </xf>
    <xf numFmtId="0" fontId="4" fillId="12" borderId="47" xfId="0" applyFont="1" applyFill="1" applyBorder="1" applyAlignment="1">
      <alignment horizontal="left" vertical="center"/>
    </xf>
    <xf numFmtId="0" fontId="4" fillId="12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5" fontId="3" fillId="0" borderId="29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6" fillId="15" borderId="17" xfId="0" applyFont="1" applyFill="1" applyBorder="1" applyAlignment="1">
      <alignment horizontal="center" vertical="center"/>
    </xf>
    <xf numFmtId="0" fontId="16" fillId="15" borderId="18" xfId="0" applyFont="1" applyFill="1" applyBorder="1" applyAlignment="1">
      <alignment horizontal="center" vertical="center"/>
    </xf>
    <xf numFmtId="0" fontId="16" fillId="15" borderId="19" xfId="0" applyFont="1" applyFill="1" applyBorder="1" applyAlignment="1">
      <alignment horizontal="center" vertical="center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F128"/>
  <sheetViews>
    <sheetView showGridLines="0" tabSelected="1" zoomScale="62" zoomScaleNormal="62" zoomScaleSheetLayoutView="76" workbookViewId="0">
      <selection activeCell="M46" sqref="M4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.42578125" customWidth="1"/>
    <col min="9" max="9" width="1.28515625" customWidth="1"/>
    <col min="10" max="10" width="14.140625" customWidth="1"/>
    <col min="11" max="11" width="11.28515625" customWidth="1"/>
    <col min="12" max="12" width="16.140625" customWidth="1"/>
    <col min="13" max="13" width="17.85546875" customWidth="1"/>
    <col min="14" max="14" width="13.7109375" customWidth="1"/>
    <col min="15" max="15" width="23.42578125" style="1" customWidth="1"/>
    <col min="16" max="16" width="13.28515625" customWidth="1"/>
    <col min="17" max="17" width="11.28515625" customWidth="1"/>
    <col min="18" max="20" width="16.42578125" customWidth="1"/>
    <col min="21" max="21" width="21.140625" customWidth="1"/>
    <col min="22" max="22" width="12.42578125" customWidth="1"/>
    <col min="23" max="23" width="10.7109375" customWidth="1"/>
    <col min="24" max="24" width="16.140625" bestFit="1" customWidth="1"/>
    <col min="25" max="25" width="14.140625" bestFit="1" customWidth="1"/>
    <col min="26" max="26" width="13.140625" bestFit="1" customWidth="1"/>
    <col min="27" max="27" width="21.85546875" customWidth="1"/>
    <col min="28" max="28" width="12.5703125" customWidth="1"/>
    <col min="29" max="29" width="10.7109375" bestFit="1" customWidth="1"/>
    <col min="30" max="30" width="17.7109375" customWidth="1"/>
    <col min="31" max="31" width="5.85546875" customWidth="1"/>
    <col min="32" max="32" width="0" hidden="1" customWidth="1"/>
    <col min="33" max="16384" width="9.140625" hidden="1"/>
  </cols>
  <sheetData>
    <row r="1" spans="1:3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21" x14ac:dyDescent="0.35">
      <c r="A2" s="3"/>
      <c r="B2" s="5" t="s">
        <v>122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10.9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2" ht="17.45" customHeight="1" x14ac:dyDescent="0.35">
      <c r="A4" s="3"/>
      <c r="B4" s="3" t="s">
        <v>43</v>
      </c>
      <c r="C4" s="3"/>
      <c r="D4" s="240" t="s">
        <v>98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3"/>
      <c r="Y4" s="3"/>
      <c r="Z4" s="3"/>
      <c r="AA4" s="3"/>
      <c r="AB4" s="3"/>
      <c r="AC4" s="3"/>
      <c r="AD4" s="3"/>
      <c r="AE4" s="3"/>
    </row>
    <row r="5" spans="1:32" ht="17.4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2" ht="14.45" customHeight="1" x14ac:dyDescent="0.25">
      <c r="A6" s="3"/>
      <c r="B6" s="3" t="s">
        <v>44</v>
      </c>
      <c r="C6" s="3"/>
      <c r="D6" s="12">
        <v>46789766</v>
      </c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8.4499999999999993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ht="17.45" customHeight="1" x14ac:dyDescent="0.25">
      <c r="A8" s="3"/>
      <c r="B8" s="3" t="s">
        <v>45</v>
      </c>
      <c r="C8" s="3"/>
      <c r="D8" s="241" t="s">
        <v>99</v>
      </c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3"/>
      <c r="Y8" s="3"/>
      <c r="Z8" s="3"/>
      <c r="AA8" s="3"/>
      <c r="AB8" s="3"/>
      <c r="AC8" s="3"/>
      <c r="AD8" s="3"/>
      <c r="AE8" s="3"/>
    </row>
    <row r="9" spans="1:32" ht="8.4499999999999993" customHeight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2" ht="29.25" customHeight="1" thickBot="1" x14ac:dyDescent="0.3">
      <c r="A10" s="3"/>
      <c r="B10" s="256" t="s">
        <v>37</v>
      </c>
      <c r="C10" s="245" t="s">
        <v>38</v>
      </c>
      <c r="D10" s="247" t="s">
        <v>105</v>
      </c>
      <c r="E10" s="248"/>
      <c r="F10" s="248"/>
      <c r="G10" s="248"/>
      <c r="H10" s="248"/>
      <c r="I10" s="248"/>
      <c r="J10" s="248"/>
      <c r="K10" s="249"/>
      <c r="L10" s="259" t="s">
        <v>107</v>
      </c>
      <c r="M10" s="260"/>
      <c r="N10" s="260"/>
      <c r="O10" s="260"/>
      <c r="P10" s="260"/>
      <c r="Q10" s="261"/>
      <c r="R10" s="247" t="s">
        <v>104</v>
      </c>
      <c r="S10" s="248"/>
      <c r="T10" s="248"/>
      <c r="U10" s="248"/>
      <c r="V10" s="248"/>
      <c r="W10" s="249"/>
      <c r="X10" s="229" t="s">
        <v>126</v>
      </c>
      <c r="Y10" s="230"/>
      <c r="Z10" s="230"/>
      <c r="AA10" s="230"/>
      <c r="AB10" s="230"/>
      <c r="AC10" s="231"/>
      <c r="AD10" s="208" t="s">
        <v>106</v>
      </c>
      <c r="AE10" s="3"/>
      <c r="AF10" s="3"/>
    </row>
    <row r="11" spans="1:32" ht="30.75" customHeight="1" thickBot="1" x14ac:dyDescent="0.3">
      <c r="A11" s="3"/>
      <c r="B11" s="257"/>
      <c r="C11" s="246"/>
      <c r="D11" s="215" t="s">
        <v>39</v>
      </c>
      <c r="E11" s="216"/>
      <c r="F11" s="216"/>
      <c r="G11" s="217"/>
      <c r="H11" s="111"/>
      <c r="I11" s="111"/>
      <c r="J11" s="107" t="s">
        <v>40</v>
      </c>
      <c r="K11" s="107" t="s">
        <v>61</v>
      </c>
      <c r="L11" s="215" t="s">
        <v>39</v>
      </c>
      <c r="M11" s="216"/>
      <c r="N11" s="216"/>
      <c r="O11" s="217"/>
      <c r="P11" s="107" t="s">
        <v>40</v>
      </c>
      <c r="Q11" s="107" t="s">
        <v>61</v>
      </c>
      <c r="R11" s="215" t="s">
        <v>39</v>
      </c>
      <c r="S11" s="216"/>
      <c r="T11" s="216"/>
      <c r="U11" s="217"/>
      <c r="V11" s="107" t="s">
        <v>40</v>
      </c>
      <c r="W11" s="107" t="s">
        <v>61</v>
      </c>
      <c r="X11" s="215" t="s">
        <v>39</v>
      </c>
      <c r="Y11" s="216"/>
      <c r="Z11" s="216"/>
      <c r="AA11" s="217"/>
      <c r="AB11" s="107" t="s">
        <v>40</v>
      </c>
      <c r="AC11" s="107" t="s">
        <v>61</v>
      </c>
      <c r="AD11" s="209"/>
      <c r="AE11" s="3"/>
      <c r="AF11" s="3"/>
    </row>
    <row r="12" spans="1:32" ht="15.75" customHeight="1" thickBot="1" x14ac:dyDescent="0.3">
      <c r="A12" s="3"/>
      <c r="B12" s="257"/>
      <c r="C12" s="250"/>
      <c r="D12" s="218" t="s">
        <v>62</v>
      </c>
      <c r="E12" s="219"/>
      <c r="F12" s="219"/>
      <c r="G12" s="219"/>
      <c r="H12" s="219"/>
      <c r="I12" s="219"/>
      <c r="J12" s="219"/>
      <c r="K12" s="220"/>
      <c r="L12" s="218" t="s">
        <v>62</v>
      </c>
      <c r="M12" s="219"/>
      <c r="N12" s="219"/>
      <c r="O12" s="219"/>
      <c r="P12" s="219"/>
      <c r="Q12" s="220"/>
      <c r="R12" s="218" t="s">
        <v>62</v>
      </c>
      <c r="S12" s="219"/>
      <c r="T12" s="219"/>
      <c r="U12" s="219"/>
      <c r="V12" s="219"/>
      <c r="W12" s="220"/>
      <c r="X12" s="218" t="s">
        <v>62</v>
      </c>
      <c r="Y12" s="219"/>
      <c r="Z12" s="219"/>
      <c r="AA12" s="219"/>
      <c r="AB12" s="219"/>
      <c r="AC12" s="220"/>
      <c r="AD12" s="209"/>
      <c r="AE12" s="3"/>
      <c r="AF12" s="3"/>
    </row>
    <row r="13" spans="1:32" ht="15.75" customHeight="1" thickBot="1" x14ac:dyDescent="0.3">
      <c r="A13" s="3"/>
      <c r="B13" s="258"/>
      <c r="C13" s="251"/>
      <c r="D13" s="221" t="s">
        <v>57</v>
      </c>
      <c r="E13" s="222"/>
      <c r="F13" s="222"/>
      <c r="G13" s="254" t="s">
        <v>63</v>
      </c>
      <c r="H13" s="177"/>
      <c r="I13" s="164"/>
      <c r="J13" s="236" t="s">
        <v>66</v>
      </c>
      <c r="K13" s="223" t="s">
        <v>62</v>
      </c>
      <c r="L13" s="221" t="s">
        <v>57</v>
      </c>
      <c r="M13" s="222"/>
      <c r="N13" s="222"/>
      <c r="O13" s="225" t="s">
        <v>63</v>
      </c>
      <c r="P13" s="236" t="s">
        <v>66</v>
      </c>
      <c r="Q13" s="223" t="s">
        <v>62</v>
      </c>
      <c r="R13" s="221" t="s">
        <v>57</v>
      </c>
      <c r="S13" s="222"/>
      <c r="T13" s="222"/>
      <c r="U13" s="225" t="s">
        <v>63</v>
      </c>
      <c r="V13" s="236" t="s">
        <v>66</v>
      </c>
      <c r="W13" s="223" t="s">
        <v>62</v>
      </c>
      <c r="X13" s="221" t="s">
        <v>57</v>
      </c>
      <c r="Y13" s="222"/>
      <c r="Z13" s="222"/>
      <c r="AA13" s="225" t="s">
        <v>63</v>
      </c>
      <c r="AB13" s="236" t="s">
        <v>66</v>
      </c>
      <c r="AC13" s="223" t="s">
        <v>62</v>
      </c>
      <c r="AD13" s="209"/>
      <c r="AE13" s="3"/>
      <c r="AF13" s="3"/>
    </row>
    <row r="14" spans="1:32" ht="15.75" thickBot="1" x14ac:dyDescent="0.3">
      <c r="A14" s="3"/>
      <c r="B14" s="178"/>
      <c r="C14" s="179"/>
      <c r="D14" s="108" t="s">
        <v>58</v>
      </c>
      <c r="E14" s="109" t="s">
        <v>89</v>
      </c>
      <c r="F14" s="109" t="s">
        <v>59</v>
      </c>
      <c r="G14" s="255"/>
      <c r="H14" s="58"/>
      <c r="I14" s="59"/>
      <c r="J14" s="237"/>
      <c r="K14" s="224"/>
      <c r="L14" s="108" t="s">
        <v>58</v>
      </c>
      <c r="M14" s="109" t="s">
        <v>89</v>
      </c>
      <c r="N14" s="109" t="s">
        <v>59</v>
      </c>
      <c r="O14" s="226"/>
      <c r="P14" s="237"/>
      <c r="Q14" s="224"/>
      <c r="R14" s="108" t="s">
        <v>58</v>
      </c>
      <c r="S14" s="109" t="s">
        <v>89</v>
      </c>
      <c r="T14" s="109" t="s">
        <v>59</v>
      </c>
      <c r="U14" s="226"/>
      <c r="V14" s="237"/>
      <c r="W14" s="224"/>
      <c r="X14" s="108" t="s">
        <v>58</v>
      </c>
      <c r="Y14" s="109" t="s">
        <v>89</v>
      </c>
      <c r="Z14" s="109" t="s">
        <v>59</v>
      </c>
      <c r="AA14" s="226"/>
      <c r="AB14" s="237"/>
      <c r="AC14" s="224"/>
      <c r="AD14" s="210"/>
      <c r="AE14" s="3"/>
      <c r="AF14" s="3"/>
    </row>
    <row r="15" spans="1:32" x14ac:dyDescent="0.25">
      <c r="A15" s="3"/>
      <c r="B15" s="112" t="s">
        <v>0</v>
      </c>
      <c r="C15" s="113" t="s">
        <v>52</v>
      </c>
      <c r="D15" s="89"/>
      <c r="E15" s="90"/>
      <c r="F15" s="180">
        <v>2358.181</v>
      </c>
      <c r="G15" s="91">
        <f>SUM(D15:F15)</f>
        <v>2358.181</v>
      </c>
      <c r="H15" s="42"/>
      <c r="I15" s="43"/>
      <c r="J15" s="92">
        <v>461.2</v>
      </c>
      <c r="K15" s="44">
        <f>G15+J15</f>
        <v>2819.3809999999999</v>
      </c>
      <c r="L15" s="89"/>
      <c r="M15" s="90"/>
      <c r="N15" s="180">
        <v>2150</v>
      </c>
      <c r="O15" s="91">
        <f t="shared" ref="O15:O23" si="0">SUM(L15:N15)</f>
        <v>2150</v>
      </c>
      <c r="P15" s="92">
        <v>310</v>
      </c>
      <c r="Q15" s="44">
        <f>O15+P15</f>
        <v>2460</v>
      </c>
      <c r="R15" s="89"/>
      <c r="S15" s="90"/>
      <c r="T15" s="180">
        <v>1297.5</v>
      </c>
      <c r="U15" s="91">
        <f>SUM(R15:T15)</f>
        <v>1297.5</v>
      </c>
      <c r="V15" s="92">
        <v>300.7</v>
      </c>
      <c r="W15" s="44">
        <f>U15+V15</f>
        <v>1598.2</v>
      </c>
      <c r="X15" s="89"/>
      <c r="Y15" s="90"/>
      <c r="Z15" s="180">
        <v>2496</v>
      </c>
      <c r="AA15" s="91">
        <f>SUM(X15:Z15)</f>
        <v>2496</v>
      </c>
      <c r="AB15" s="92">
        <v>450</v>
      </c>
      <c r="AC15" s="44">
        <f>AA15+AB15</f>
        <v>2946</v>
      </c>
      <c r="AD15" s="26">
        <f>(AC15/Q15)</f>
        <v>1.1975609756097561</v>
      </c>
      <c r="AE15" s="3"/>
      <c r="AF15" s="3"/>
    </row>
    <row r="16" spans="1:32" x14ac:dyDescent="0.25">
      <c r="A16" s="3"/>
      <c r="B16" s="114" t="s">
        <v>1</v>
      </c>
      <c r="C16" s="115" t="s">
        <v>60</v>
      </c>
      <c r="D16" s="93">
        <v>5747.7</v>
      </c>
      <c r="E16" s="94"/>
      <c r="F16" s="94"/>
      <c r="G16" s="91">
        <f t="shared" ref="G16:G17" si="1">SUM(D16:F16)</f>
        <v>5747.7</v>
      </c>
      <c r="H16" s="42"/>
      <c r="I16" s="43"/>
      <c r="J16" s="95">
        <v>0</v>
      </c>
      <c r="K16" s="44">
        <f t="shared" ref="K16:K23" si="2">G16+J16</f>
        <v>5747.7</v>
      </c>
      <c r="L16" s="181">
        <v>6783.2</v>
      </c>
      <c r="M16" s="94"/>
      <c r="N16" s="94"/>
      <c r="O16" s="99">
        <f t="shared" si="0"/>
        <v>6783.2</v>
      </c>
      <c r="P16" s="95"/>
      <c r="Q16" s="44">
        <f t="shared" ref="Q16:Q20" si="3">O16+P16</f>
        <v>6783.2</v>
      </c>
      <c r="R16" s="93">
        <v>3050.2</v>
      </c>
      <c r="S16" s="94"/>
      <c r="T16" s="94"/>
      <c r="U16" s="99">
        <f t="shared" ref="U16:U23" si="4">SUM(R16:T16)</f>
        <v>3050.2</v>
      </c>
      <c r="V16" s="95"/>
      <c r="W16" s="44">
        <f t="shared" ref="W16:W20" si="5">U16+V16</f>
        <v>3050.2</v>
      </c>
      <c r="X16" s="171">
        <v>7000</v>
      </c>
      <c r="Y16" s="94"/>
      <c r="Z16" s="94"/>
      <c r="AA16" s="99">
        <f t="shared" ref="AA16:AA23" si="6">SUM(X16:Z16)</f>
        <v>7000</v>
      </c>
      <c r="AB16" s="95"/>
      <c r="AC16" s="44">
        <f t="shared" ref="AC16:AC20" si="7">AA16+AB16</f>
        <v>7000</v>
      </c>
      <c r="AD16" s="26">
        <f>(AC16/Q16)</f>
        <v>1.0319613161929473</v>
      </c>
      <c r="AE16" s="3"/>
      <c r="AF16" s="3"/>
    </row>
    <row r="17" spans="1:32" x14ac:dyDescent="0.25">
      <c r="A17" s="3"/>
      <c r="B17" s="114" t="s">
        <v>3</v>
      </c>
      <c r="C17" s="16" t="s">
        <v>78</v>
      </c>
      <c r="D17" s="182">
        <v>483.3</v>
      </c>
      <c r="E17" s="94"/>
      <c r="F17" s="94"/>
      <c r="G17" s="91">
        <f t="shared" si="1"/>
        <v>483.3</v>
      </c>
      <c r="H17" s="42"/>
      <c r="I17" s="43"/>
      <c r="J17" s="96">
        <v>0</v>
      </c>
      <c r="K17" s="44">
        <f>G17+J17</f>
        <v>483.3</v>
      </c>
      <c r="L17" s="182">
        <v>1030.9000000000001</v>
      </c>
      <c r="M17" s="94"/>
      <c r="N17" s="94"/>
      <c r="O17" s="99">
        <f t="shared" si="0"/>
        <v>1030.9000000000001</v>
      </c>
      <c r="P17" s="96"/>
      <c r="Q17" s="44">
        <f t="shared" si="3"/>
        <v>1030.9000000000001</v>
      </c>
      <c r="R17" s="182">
        <v>480.9</v>
      </c>
      <c r="S17" s="94"/>
      <c r="T17" s="94"/>
      <c r="U17" s="99">
        <f t="shared" si="4"/>
        <v>480.9</v>
      </c>
      <c r="V17" s="96"/>
      <c r="W17" s="44">
        <f t="shared" si="5"/>
        <v>480.9</v>
      </c>
      <c r="X17" s="171">
        <f>480.9-84.2</f>
        <v>396.7</v>
      </c>
      <c r="Y17" s="94"/>
      <c r="Z17" s="94"/>
      <c r="AA17" s="99">
        <f t="shared" si="6"/>
        <v>396.7</v>
      </c>
      <c r="AB17" s="96"/>
      <c r="AC17" s="44">
        <f t="shared" si="7"/>
        <v>396.7</v>
      </c>
      <c r="AD17" s="26">
        <f t="shared" ref="AD17:AD24" si="8">(AC17/Q17)</f>
        <v>0.38480938985352597</v>
      </c>
      <c r="AE17" s="3"/>
      <c r="AF17" s="3"/>
    </row>
    <row r="18" spans="1:32" x14ac:dyDescent="0.25">
      <c r="A18" s="3"/>
      <c r="B18" s="114" t="s">
        <v>5</v>
      </c>
      <c r="C18" s="17" t="s">
        <v>53</v>
      </c>
      <c r="D18" s="97"/>
      <c r="E18" s="98">
        <f>44951.7+2958.9</f>
        <v>47910.6</v>
      </c>
      <c r="F18" s="94"/>
      <c r="G18" s="99">
        <f t="shared" ref="G18:G23" si="9">SUM(D18:F18)</f>
        <v>47910.6</v>
      </c>
      <c r="H18" s="42"/>
      <c r="I18" s="43"/>
      <c r="J18" s="92">
        <v>0</v>
      </c>
      <c r="K18" s="44">
        <f t="shared" si="2"/>
        <v>47910.6</v>
      </c>
      <c r="L18" s="97"/>
      <c r="M18" s="98">
        <v>48289.599999999999</v>
      </c>
      <c r="N18" s="94"/>
      <c r="O18" s="99">
        <f t="shared" si="0"/>
        <v>48289.599999999999</v>
      </c>
      <c r="P18" s="92">
        <v>0</v>
      </c>
      <c r="Q18" s="44">
        <f t="shared" si="3"/>
        <v>48289.599999999999</v>
      </c>
      <c r="R18" s="97"/>
      <c r="S18" s="98">
        <v>26006.9</v>
      </c>
      <c r="T18" s="94"/>
      <c r="U18" s="99">
        <f t="shared" si="4"/>
        <v>26006.9</v>
      </c>
      <c r="V18" s="92">
        <v>0</v>
      </c>
      <c r="W18" s="44">
        <f t="shared" si="5"/>
        <v>26006.9</v>
      </c>
      <c r="X18" s="97"/>
      <c r="Y18" s="98">
        <f>45070+3539.6+323</f>
        <v>48932.6</v>
      </c>
      <c r="Z18" s="94"/>
      <c r="AA18" s="99">
        <f t="shared" si="6"/>
        <v>48932.6</v>
      </c>
      <c r="AB18" s="92">
        <v>0</v>
      </c>
      <c r="AC18" s="44">
        <f t="shared" si="7"/>
        <v>48932.6</v>
      </c>
      <c r="AD18" s="26">
        <f t="shared" si="8"/>
        <v>1.0133154965044233</v>
      </c>
      <c r="AE18" s="3"/>
      <c r="AF18" s="3"/>
    </row>
    <row r="19" spans="1:32" x14ac:dyDescent="0.25">
      <c r="A19" s="3"/>
      <c r="B19" s="114" t="s">
        <v>7</v>
      </c>
      <c r="C19" s="7" t="s">
        <v>46</v>
      </c>
      <c r="D19" s="97"/>
      <c r="E19" s="94"/>
      <c r="F19" s="98">
        <v>993.99400000000003</v>
      </c>
      <c r="G19" s="99">
        <f t="shared" si="9"/>
        <v>993.99400000000003</v>
      </c>
      <c r="H19" s="42"/>
      <c r="I19" s="43"/>
      <c r="J19" s="92">
        <v>0</v>
      </c>
      <c r="K19" s="44">
        <f>G19+J19</f>
        <v>993.99400000000003</v>
      </c>
      <c r="L19" s="97"/>
      <c r="M19" s="94"/>
      <c r="N19" s="98">
        <v>1030</v>
      </c>
      <c r="O19" s="99">
        <f>SUM(L19:N19)</f>
        <v>1030</v>
      </c>
      <c r="P19" s="92">
        <v>0</v>
      </c>
      <c r="Q19" s="44">
        <f t="shared" si="3"/>
        <v>1030</v>
      </c>
      <c r="R19" s="97"/>
      <c r="S19" s="94"/>
      <c r="T19" s="98">
        <v>500.5</v>
      </c>
      <c r="U19" s="99">
        <f t="shared" si="4"/>
        <v>500.5</v>
      </c>
      <c r="V19" s="92">
        <v>0</v>
      </c>
      <c r="W19" s="44">
        <f t="shared" si="5"/>
        <v>500.5</v>
      </c>
      <c r="X19" s="97"/>
      <c r="Y19" s="94"/>
      <c r="Z19" s="98">
        <v>1030</v>
      </c>
      <c r="AA19" s="99">
        <f t="shared" si="6"/>
        <v>1030</v>
      </c>
      <c r="AB19" s="92">
        <v>0</v>
      </c>
      <c r="AC19" s="44">
        <f t="shared" si="7"/>
        <v>1030</v>
      </c>
      <c r="AD19" s="26">
        <f t="shared" si="8"/>
        <v>1</v>
      </c>
      <c r="AE19" s="3"/>
      <c r="AF19" s="3"/>
    </row>
    <row r="20" spans="1:32" x14ac:dyDescent="0.25">
      <c r="A20" s="3"/>
      <c r="B20" s="114" t="s">
        <v>9</v>
      </c>
      <c r="C20" s="7" t="s">
        <v>47</v>
      </c>
      <c r="D20" s="97"/>
      <c r="E20" s="94"/>
      <c r="F20" s="98">
        <v>407.67590999999999</v>
      </c>
      <c r="G20" s="99">
        <f t="shared" si="9"/>
        <v>407.67590999999999</v>
      </c>
      <c r="H20" s="42"/>
      <c r="I20" s="43"/>
      <c r="J20" s="92">
        <v>0</v>
      </c>
      <c r="K20" s="44">
        <f t="shared" si="2"/>
        <v>407.67590999999999</v>
      </c>
      <c r="L20" s="97"/>
      <c r="M20" s="94">
        <v>550</v>
      </c>
      <c r="N20" s="98">
        <v>50</v>
      </c>
      <c r="O20" s="99">
        <f t="shared" si="0"/>
        <v>600</v>
      </c>
      <c r="P20" s="92">
        <v>0</v>
      </c>
      <c r="Q20" s="44">
        <f t="shared" si="3"/>
        <v>600</v>
      </c>
      <c r="R20" s="97"/>
      <c r="S20" s="94"/>
      <c r="T20" s="98">
        <v>81</v>
      </c>
      <c r="U20" s="99">
        <f t="shared" si="4"/>
        <v>81</v>
      </c>
      <c r="V20" s="92">
        <v>0</v>
      </c>
      <c r="W20" s="44">
        <f t="shared" si="5"/>
        <v>81</v>
      </c>
      <c r="X20" s="97"/>
      <c r="Y20" s="94">
        <v>445</v>
      </c>
      <c r="Z20" s="183">
        <v>75</v>
      </c>
      <c r="AA20" s="99">
        <f t="shared" si="6"/>
        <v>520</v>
      </c>
      <c r="AB20" s="92">
        <v>0</v>
      </c>
      <c r="AC20" s="44">
        <f t="shared" si="7"/>
        <v>520</v>
      </c>
      <c r="AD20" s="26">
        <f t="shared" si="8"/>
        <v>0.8666666666666667</v>
      </c>
      <c r="AE20" s="3"/>
      <c r="AF20" s="3"/>
    </row>
    <row r="21" spans="1:32" x14ac:dyDescent="0.25">
      <c r="A21" s="3"/>
      <c r="B21" s="114" t="s">
        <v>11</v>
      </c>
      <c r="C21" s="7" t="s">
        <v>2</v>
      </c>
      <c r="D21" s="97"/>
      <c r="E21" s="94"/>
      <c r="F21" s="98">
        <v>498.79616000000004</v>
      </c>
      <c r="G21" s="99">
        <f t="shared" si="9"/>
        <v>498.79616000000004</v>
      </c>
      <c r="H21" s="45"/>
      <c r="I21" s="43"/>
      <c r="J21" s="100">
        <f>SUM(J22:J23)</f>
        <v>225.5</v>
      </c>
      <c r="K21" s="44">
        <f>G21+J21</f>
        <v>724.2961600000001</v>
      </c>
      <c r="L21" s="97"/>
      <c r="M21" s="94"/>
      <c r="N21" s="98">
        <v>210</v>
      </c>
      <c r="O21" s="99">
        <f t="shared" si="0"/>
        <v>210</v>
      </c>
      <c r="P21" s="100">
        <v>260</v>
      </c>
      <c r="Q21" s="44">
        <f>O21+P21</f>
        <v>470</v>
      </c>
      <c r="R21" s="97">
        <v>13.6</v>
      </c>
      <c r="S21" s="94"/>
      <c r="T21" s="98">
        <v>329.2</v>
      </c>
      <c r="U21" s="99">
        <f t="shared" si="4"/>
        <v>342.8</v>
      </c>
      <c r="V21" s="100">
        <f>SUM(V22:V23)</f>
        <v>117.5</v>
      </c>
      <c r="W21" s="44">
        <f>U21+V21</f>
        <v>460.3</v>
      </c>
      <c r="X21" s="97"/>
      <c r="Y21" s="94"/>
      <c r="Z21" s="98">
        <v>465</v>
      </c>
      <c r="AA21" s="99">
        <f t="shared" si="6"/>
        <v>465</v>
      </c>
      <c r="AB21" s="100">
        <v>229.6</v>
      </c>
      <c r="AC21" s="44">
        <f>AA21+AB21</f>
        <v>694.6</v>
      </c>
      <c r="AD21" s="26">
        <f t="shared" si="8"/>
        <v>1.4778723404255321</v>
      </c>
      <c r="AE21" s="3"/>
      <c r="AF21" s="3"/>
    </row>
    <row r="22" spans="1:32" x14ac:dyDescent="0.25">
      <c r="A22" s="3"/>
      <c r="B22" s="114" t="s">
        <v>13</v>
      </c>
      <c r="C22" s="7" t="s">
        <v>4</v>
      </c>
      <c r="D22" s="97"/>
      <c r="E22" s="94"/>
      <c r="F22" s="98">
        <v>0</v>
      </c>
      <c r="G22" s="99">
        <f t="shared" si="9"/>
        <v>0</v>
      </c>
      <c r="H22" s="45"/>
      <c r="I22" s="43"/>
      <c r="J22" s="100">
        <v>225.5</v>
      </c>
      <c r="K22" s="44">
        <f t="shared" si="2"/>
        <v>225.5</v>
      </c>
      <c r="L22" s="97"/>
      <c r="M22" s="94"/>
      <c r="N22" s="98">
        <v>0</v>
      </c>
      <c r="O22" s="99">
        <f t="shared" si="0"/>
        <v>0</v>
      </c>
      <c r="P22" s="100">
        <v>260</v>
      </c>
      <c r="Q22" s="44">
        <f t="shared" ref="Q22:Q23" si="10">O22+P22</f>
        <v>260</v>
      </c>
      <c r="R22" s="97"/>
      <c r="S22" s="94"/>
      <c r="T22" s="98">
        <v>0</v>
      </c>
      <c r="U22" s="99">
        <f t="shared" si="4"/>
        <v>0</v>
      </c>
      <c r="V22" s="100">
        <v>117.5</v>
      </c>
      <c r="W22" s="44">
        <f t="shared" ref="W22:W23" si="11">U22+V22</f>
        <v>117.5</v>
      </c>
      <c r="X22" s="97"/>
      <c r="Y22" s="94"/>
      <c r="Z22" s="98">
        <v>0</v>
      </c>
      <c r="AA22" s="99">
        <f t="shared" si="6"/>
        <v>0</v>
      </c>
      <c r="AB22" s="100">
        <v>229.6</v>
      </c>
      <c r="AC22" s="44">
        <f t="shared" ref="AC22:AC23" si="12">AA22+AB22</f>
        <v>229.6</v>
      </c>
      <c r="AD22" s="26">
        <f t="shared" si="8"/>
        <v>0.88307692307692309</v>
      </c>
      <c r="AE22" s="3"/>
      <c r="AF22" s="3"/>
    </row>
    <row r="23" spans="1:32" ht="15.75" thickBot="1" x14ac:dyDescent="0.3">
      <c r="A23" s="3"/>
      <c r="B23" s="116" t="s">
        <v>15</v>
      </c>
      <c r="C23" s="117" t="s">
        <v>6</v>
      </c>
      <c r="D23" s="101"/>
      <c r="E23" s="102"/>
      <c r="F23" s="103">
        <v>0</v>
      </c>
      <c r="G23" s="99">
        <f t="shared" si="9"/>
        <v>0</v>
      </c>
      <c r="H23" s="46"/>
      <c r="I23" s="43"/>
      <c r="J23" s="104">
        <v>0</v>
      </c>
      <c r="K23" s="47">
        <f t="shared" si="2"/>
        <v>0</v>
      </c>
      <c r="L23" s="101"/>
      <c r="M23" s="102"/>
      <c r="N23" s="103">
        <v>0</v>
      </c>
      <c r="O23" s="105">
        <f t="shared" si="0"/>
        <v>0</v>
      </c>
      <c r="P23" s="104">
        <v>0</v>
      </c>
      <c r="Q23" s="47">
        <f t="shared" si="10"/>
        <v>0</v>
      </c>
      <c r="R23" s="101"/>
      <c r="S23" s="102"/>
      <c r="T23" s="103">
        <v>0</v>
      </c>
      <c r="U23" s="105">
        <f t="shared" si="4"/>
        <v>0</v>
      </c>
      <c r="V23" s="104">
        <v>0</v>
      </c>
      <c r="W23" s="47">
        <f t="shared" si="11"/>
        <v>0</v>
      </c>
      <c r="X23" s="101"/>
      <c r="Y23" s="102"/>
      <c r="Z23" s="103">
        <v>0</v>
      </c>
      <c r="AA23" s="105">
        <f t="shared" si="6"/>
        <v>0</v>
      </c>
      <c r="AB23" s="104">
        <v>0</v>
      </c>
      <c r="AC23" s="47">
        <f t="shared" si="12"/>
        <v>0</v>
      </c>
      <c r="AD23" s="27" t="e">
        <f t="shared" si="8"/>
        <v>#DIV/0!</v>
      </c>
      <c r="AE23" s="3"/>
      <c r="AF23" s="3"/>
    </row>
    <row r="24" spans="1:32" ht="15.75" thickBot="1" x14ac:dyDescent="0.3">
      <c r="A24" s="3"/>
      <c r="B24" s="118" t="s">
        <v>17</v>
      </c>
      <c r="C24" s="119" t="s">
        <v>8</v>
      </c>
      <c r="D24" s="48">
        <f>SUM(D15:D21)</f>
        <v>6231</v>
      </c>
      <c r="E24" s="49">
        <f>SUM(E15:E21)</f>
        <v>47910.6</v>
      </c>
      <c r="F24" s="49">
        <f>SUM(F15:F21)</f>
        <v>4258.64707</v>
      </c>
      <c r="G24" s="50">
        <f>SUM(D24:F24)</f>
        <v>58400.247069999998</v>
      </c>
      <c r="H24" s="51"/>
      <c r="I24" s="52"/>
      <c r="J24" s="53">
        <f>SUM(J15:J21)</f>
        <v>686.7</v>
      </c>
      <c r="K24" s="53">
        <f>SUM(K15:K21)</f>
        <v>59086.947069999995</v>
      </c>
      <c r="L24" s="48">
        <f>SUM(L15:L21)</f>
        <v>7814.1</v>
      </c>
      <c r="M24" s="49">
        <f>SUM(M15:M21)</f>
        <v>48839.6</v>
      </c>
      <c r="N24" s="49">
        <f>SUM(N15:N21)</f>
        <v>3440</v>
      </c>
      <c r="O24" s="50">
        <f>SUM(L24:N24)</f>
        <v>60093.7</v>
      </c>
      <c r="P24" s="53">
        <f>SUM(P15:P21)</f>
        <v>570</v>
      </c>
      <c r="Q24" s="53">
        <f>SUM(Q15:Q21)</f>
        <v>60663.7</v>
      </c>
      <c r="R24" s="48">
        <f>SUM(R15:R21)</f>
        <v>3544.7</v>
      </c>
      <c r="S24" s="49">
        <f>SUM(S15:S21)</f>
        <v>26006.9</v>
      </c>
      <c r="T24" s="49">
        <f>SUM(T15:T23)</f>
        <v>2208.1999999999998</v>
      </c>
      <c r="U24" s="50">
        <f>SUM(R24:T24)</f>
        <v>31759.800000000003</v>
      </c>
      <c r="V24" s="53">
        <f>SUM(V15:V21)</f>
        <v>418.2</v>
      </c>
      <c r="W24" s="53">
        <f>SUM(W15:W21)</f>
        <v>32178</v>
      </c>
      <c r="X24" s="48">
        <f>SUM(X15:X21)</f>
        <v>7396.7</v>
      </c>
      <c r="Y24" s="49">
        <f>SUM(Y15:Y21)</f>
        <v>49377.599999999999</v>
      </c>
      <c r="Z24" s="49">
        <f>SUM(Z15:Z23)</f>
        <v>4066</v>
      </c>
      <c r="AA24" s="50">
        <f>SUM(X24:Z24)</f>
        <v>60840.299999999996</v>
      </c>
      <c r="AB24" s="53">
        <f>SUM(AB15:AB21)</f>
        <v>679.6</v>
      </c>
      <c r="AC24" s="53">
        <f>SUM(AC15:AC21)</f>
        <v>61519.9</v>
      </c>
      <c r="AD24" s="28">
        <f t="shared" si="8"/>
        <v>1.0141138769972817</v>
      </c>
      <c r="AE24" s="3"/>
      <c r="AF24" s="3"/>
    </row>
    <row r="25" spans="1:32" ht="15.75" customHeight="1" thickBot="1" x14ac:dyDescent="0.3">
      <c r="A25" s="3"/>
      <c r="B25" s="184"/>
      <c r="C25" s="185"/>
      <c r="D25" s="232" t="s">
        <v>68</v>
      </c>
      <c r="E25" s="233"/>
      <c r="F25" s="233"/>
      <c r="G25" s="234"/>
      <c r="H25" s="234"/>
      <c r="I25" s="234"/>
      <c r="J25" s="234"/>
      <c r="K25" s="235"/>
      <c r="L25" s="232" t="s">
        <v>68</v>
      </c>
      <c r="M25" s="233"/>
      <c r="N25" s="233"/>
      <c r="O25" s="234"/>
      <c r="P25" s="234"/>
      <c r="Q25" s="235"/>
      <c r="R25" s="232" t="s">
        <v>68</v>
      </c>
      <c r="S25" s="233"/>
      <c r="T25" s="233"/>
      <c r="U25" s="234"/>
      <c r="V25" s="234"/>
      <c r="W25" s="235"/>
      <c r="X25" s="232" t="s">
        <v>68</v>
      </c>
      <c r="Y25" s="233"/>
      <c r="Z25" s="233"/>
      <c r="AA25" s="234"/>
      <c r="AB25" s="234"/>
      <c r="AC25" s="235"/>
      <c r="AD25" s="208" t="s">
        <v>106</v>
      </c>
      <c r="AE25" s="3"/>
      <c r="AF25" s="3"/>
    </row>
    <row r="26" spans="1:32" ht="15.75" thickBot="1" x14ac:dyDescent="0.3">
      <c r="A26" s="3"/>
      <c r="B26" s="252" t="s">
        <v>37</v>
      </c>
      <c r="C26" s="245" t="s">
        <v>38</v>
      </c>
      <c r="D26" s="211" t="s">
        <v>102</v>
      </c>
      <c r="E26" s="212"/>
      <c r="F26" s="212"/>
      <c r="G26" s="254" t="s">
        <v>64</v>
      </c>
      <c r="H26" s="54"/>
      <c r="I26" s="54"/>
      <c r="J26" s="227" t="s">
        <v>67</v>
      </c>
      <c r="K26" s="213" t="s">
        <v>68</v>
      </c>
      <c r="L26" s="211" t="s">
        <v>102</v>
      </c>
      <c r="M26" s="212"/>
      <c r="N26" s="212"/>
      <c r="O26" s="225" t="s">
        <v>64</v>
      </c>
      <c r="P26" s="227" t="s">
        <v>67</v>
      </c>
      <c r="Q26" s="213" t="s">
        <v>68</v>
      </c>
      <c r="R26" s="211" t="s">
        <v>102</v>
      </c>
      <c r="S26" s="212"/>
      <c r="T26" s="212"/>
      <c r="U26" s="225" t="s">
        <v>64</v>
      </c>
      <c r="V26" s="227" t="s">
        <v>67</v>
      </c>
      <c r="W26" s="213" t="s">
        <v>68</v>
      </c>
      <c r="X26" s="211" t="s">
        <v>102</v>
      </c>
      <c r="Y26" s="212"/>
      <c r="Z26" s="212"/>
      <c r="AA26" s="225" t="s">
        <v>64</v>
      </c>
      <c r="AB26" s="227" t="s">
        <v>67</v>
      </c>
      <c r="AC26" s="213" t="s">
        <v>68</v>
      </c>
      <c r="AD26" s="209"/>
      <c r="AE26" s="3"/>
      <c r="AF26" s="3"/>
    </row>
    <row r="27" spans="1:32" ht="15.75" thickBot="1" x14ac:dyDescent="0.3">
      <c r="A27" s="3"/>
      <c r="B27" s="253"/>
      <c r="C27" s="246"/>
      <c r="D27" s="55" t="s">
        <v>54</v>
      </c>
      <c r="E27" s="56" t="s">
        <v>55</v>
      </c>
      <c r="F27" s="57" t="s">
        <v>56</v>
      </c>
      <c r="G27" s="255"/>
      <c r="H27" s="58"/>
      <c r="I27" s="59"/>
      <c r="J27" s="228"/>
      <c r="K27" s="214"/>
      <c r="L27" s="55" t="s">
        <v>54</v>
      </c>
      <c r="M27" s="56" t="s">
        <v>55</v>
      </c>
      <c r="N27" s="57" t="s">
        <v>56</v>
      </c>
      <c r="O27" s="226"/>
      <c r="P27" s="228"/>
      <c r="Q27" s="214"/>
      <c r="R27" s="55" t="s">
        <v>54</v>
      </c>
      <c r="S27" s="56" t="s">
        <v>55</v>
      </c>
      <c r="T27" s="57" t="s">
        <v>56</v>
      </c>
      <c r="U27" s="226"/>
      <c r="V27" s="228"/>
      <c r="W27" s="214"/>
      <c r="X27" s="55" t="s">
        <v>54</v>
      </c>
      <c r="Y27" s="56" t="s">
        <v>55</v>
      </c>
      <c r="Z27" s="57" t="s">
        <v>56</v>
      </c>
      <c r="AA27" s="226"/>
      <c r="AB27" s="228"/>
      <c r="AC27" s="214"/>
      <c r="AD27" s="210"/>
      <c r="AE27" s="3"/>
      <c r="AF27" s="3"/>
    </row>
    <row r="28" spans="1:32" ht="15.75" thickBot="1" x14ac:dyDescent="0.3">
      <c r="A28" s="3"/>
      <c r="B28" s="112" t="s">
        <v>19</v>
      </c>
      <c r="C28" s="113" t="s">
        <v>10</v>
      </c>
      <c r="D28" s="82">
        <v>242.9</v>
      </c>
      <c r="E28" s="82">
        <v>0</v>
      </c>
      <c r="F28" s="82">
        <v>0</v>
      </c>
      <c r="G28" s="186">
        <f>SUM(D28:F28)</f>
        <v>242.9</v>
      </c>
      <c r="H28" s="60"/>
      <c r="I28" s="61"/>
      <c r="J28" s="83">
        <v>0</v>
      </c>
      <c r="K28" s="62">
        <f>G28+J28</f>
        <v>242.9</v>
      </c>
      <c r="L28" s="187">
        <v>292</v>
      </c>
      <c r="M28" s="82">
        <v>0</v>
      </c>
      <c r="N28" s="82">
        <v>0</v>
      </c>
      <c r="O28" s="83">
        <f>SUM(L28:N28)</f>
        <v>292</v>
      </c>
      <c r="P28" s="83">
        <v>4</v>
      </c>
      <c r="Q28" s="62">
        <f>O28+P28</f>
        <v>296</v>
      </c>
      <c r="R28" s="187">
        <v>134.4</v>
      </c>
      <c r="S28" s="82">
        <v>0</v>
      </c>
      <c r="T28" s="82">
        <v>0</v>
      </c>
      <c r="U28" s="83">
        <f>SUM(R28:T28)</f>
        <v>134.4</v>
      </c>
      <c r="V28" s="83">
        <v>0</v>
      </c>
      <c r="W28" s="62">
        <f>U28+V28</f>
        <v>134.4</v>
      </c>
      <c r="X28" s="172">
        <f>308.5-88</f>
        <v>220.5</v>
      </c>
      <c r="Y28" s="82">
        <v>0</v>
      </c>
      <c r="Z28" s="82">
        <v>0</v>
      </c>
      <c r="AA28" s="83">
        <f>SUM(X28:Z28)</f>
        <v>220.5</v>
      </c>
      <c r="AB28" s="83">
        <v>4</v>
      </c>
      <c r="AC28" s="62">
        <f>AA28+AB28</f>
        <v>224.5</v>
      </c>
      <c r="AD28" s="26">
        <f t="shared" ref="AD28:AD41" si="13">(AC28/Q28)</f>
        <v>0.75844594594594594</v>
      </c>
      <c r="AE28" s="3"/>
      <c r="AF28" s="3"/>
    </row>
    <row r="29" spans="1:32" x14ac:dyDescent="0.25">
      <c r="A29" s="3"/>
      <c r="B29" s="114" t="s">
        <v>20</v>
      </c>
      <c r="C29" s="7" t="s">
        <v>12</v>
      </c>
      <c r="D29" s="138">
        <f>28.9+730</f>
        <v>758.9</v>
      </c>
      <c r="E29" s="84">
        <f>322.7+147.6</f>
        <v>470.29999999999995</v>
      </c>
      <c r="F29" s="84">
        <v>2282.3817100000001</v>
      </c>
      <c r="G29" s="85">
        <f>SUM(D29:F29)</f>
        <v>3511.5817099999999</v>
      </c>
      <c r="H29" s="63"/>
      <c r="I29" s="64"/>
      <c r="J29" s="86">
        <v>308.89999999999998</v>
      </c>
      <c r="K29" s="44">
        <f t="shared" ref="K29:K38" si="14">G29+J29</f>
        <v>3820.48171</v>
      </c>
      <c r="L29" s="106">
        <v>734.5</v>
      </c>
      <c r="M29" s="84">
        <v>317.10000000000002</v>
      </c>
      <c r="N29" s="84">
        <v>2170</v>
      </c>
      <c r="O29" s="86">
        <f t="shared" ref="O29:O38" si="15">SUM(L29:N29)</f>
        <v>3221.6</v>
      </c>
      <c r="P29" s="86">
        <v>280</v>
      </c>
      <c r="Q29" s="44">
        <f t="shared" ref="Q29:Q38" si="16">O29+P29</f>
        <v>3501.6</v>
      </c>
      <c r="R29" s="106">
        <f>383.5+20.6</f>
        <v>404.1</v>
      </c>
      <c r="S29" s="84">
        <f>32.3+108.2</f>
        <v>140.5</v>
      </c>
      <c r="T29" s="84">
        <v>1258.5</v>
      </c>
      <c r="U29" s="86">
        <f t="shared" ref="U29:U38" si="17">SUM(R29:T29)</f>
        <v>1803.1</v>
      </c>
      <c r="V29" s="86">
        <v>191.66973999999999</v>
      </c>
      <c r="W29" s="44">
        <f t="shared" ref="W29:W38" si="18">U29+V29</f>
        <v>1994.76974</v>
      </c>
      <c r="X29" s="172">
        <f>23.5+745.1-23.5-99.1</f>
        <v>646</v>
      </c>
      <c r="Y29" s="84">
        <f>239.1+78+20</f>
        <v>337.1</v>
      </c>
      <c r="Z29" s="84">
        <v>2663</v>
      </c>
      <c r="AA29" s="86">
        <f t="shared" ref="AA29:AA38" si="19">SUM(X29:Z29)</f>
        <v>3646.1</v>
      </c>
      <c r="AB29" s="86">
        <v>290</v>
      </c>
      <c r="AC29" s="44">
        <f t="shared" ref="AC29:AC38" si="20">AA29+AB29</f>
        <v>3936.1</v>
      </c>
      <c r="AD29" s="26">
        <f t="shared" si="13"/>
        <v>1.1240861320539182</v>
      </c>
      <c r="AE29" s="3"/>
      <c r="AF29" s="3"/>
    </row>
    <row r="30" spans="1:32" x14ac:dyDescent="0.25">
      <c r="A30" s="3"/>
      <c r="B30" s="114" t="s">
        <v>22</v>
      </c>
      <c r="C30" s="7" t="s">
        <v>14</v>
      </c>
      <c r="D30" s="138">
        <v>2365.4</v>
      </c>
      <c r="E30" s="84">
        <v>0</v>
      </c>
      <c r="F30" s="84">
        <v>0</v>
      </c>
      <c r="G30" s="85">
        <f t="shared" ref="G30:G38" si="21">SUM(D30:F30)</f>
        <v>2365.4</v>
      </c>
      <c r="H30" s="63"/>
      <c r="I30" s="64"/>
      <c r="J30" s="86">
        <v>78</v>
      </c>
      <c r="K30" s="44">
        <f t="shared" si="14"/>
        <v>2443.4</v>
      </c>
      <c r="L30" s="106">
        <v>3068.7999999999997</v>
      </c>
      <c r="M30" s="84">
        <v>0</v>
      </c>
      <c r="N30" s="84">
        <v>0</v>
      </c>
      <c r="O30" s="86">
        <f t="shared" si="15"/>
        <v>3068.7999999999997</v>
      </c>
      <c r="P30" s="86">
        <v>45</v>
      </c>
      <c r="Q30" s="44">
        <f t="shared" si="16"/>
        <v>3113.7999999999997</v>
      </c>
      <c r="R30" s="106">
        <v>1657</v>
      </c>
      <c r="S30" s="84">
        <v>0</v>
      </c>
      <c r="T30" s="84">
        <v>0</v>
      </c>
      <c r="U30" s="86">
        <f t="shared" si="17"/>
        <v>1657</v>
      </c>
      <c r="V30" s="86">
        <v>3.54129</v>
      </c>
      <c r="W30" s="44">
        <f t="shared" si="18"/>
        <v>1660.5412899999999</v>
      </c>
      <c r="X30" s="163">
        <v>3329.7</v>
      </c>
      <c r="Y30" s="84">
        <v>0</v>
      </c>
      <c r="Z30" s="84">
        <v>10</v>
      </c>
      <c r="AA30" s="86">
        <f t="shared" si="19"/>
        <v>3339.7</v>
      </c>
      <c r="AB30" s="86">
        <v>85.8</v>
      </c>
      <c r="AC30" s="44">
        <f t="shared" si="20"/>
        <v>3425.5</v>
      </c>
      <c r="AD30" s="26">
        <f t="shared" si="13"/>
        <v>1.1001027683216649</v>
      </c>
      <c r="AE30" s="3"/>
      <c r="AF30" s="3"/>
    </row>
    <row r="31" spans="1:32" x14ac:dyDescent="0.25">
      <c r="A31" s="3"/>
      <c r="B31" s="114" t="s">
        <v>24</v>
      </c>
      <c r="C31" s="7" t="s">
        <v>16</v>
      </c>
      <c r="D31" s="138">
        <f>58.1+1298.8</f>
        <v>1356.8999999999999</v>
      </c>
      <c r="E31" s="84">
        <f>75+139.5</f>
        <v>214.5</v>
      </c>
      <c r="F31" s="84">
        <v>15.521000000000001</v>
      </c>
      <c r="G31" s="85">
        <f t="shared" si="21"/>
        <v>1586.9209999999998</v>
      </c>
      <c r="H31" s="63"/>
      <c r="I31" s="64"/>
      <c r="J31" s="86">
        <v>0</v>
      </c>
      <c r="K31" s="44">
        <f t="shared" si="14"/>
        <v>1586.9209999999998</v>
      </c>
      <c r="L31" s="106">
        <v>1606.1</v>
      </c>
      <c r="M31" s="84">
        <v>242</v>
      </c>
      <c r="N31" s="84">
        <v>45</v>
      </c>
      <c r="O31" s="86">
        <f t="shared" si="15"/>
        <v>1893.1</v>
      </c>
      <c r="P31" s="86">
        <v>15</v>
      </c>
      <c r="Q31" s="44">
        <f t="shared" si="16"/>
        <v>1908.1</v>
      </c>
      <c r="R31" s="106">
        <f>803.7+17.4</f>
        <v>821.1</v>
      </c>
      <c r="S31" s="84">
        <f>114.7+154.9</f>
        <v>269.60000000000002</v>
      </c>
      <c r="T31" s="84">
        <v>8.3000000000000007</v>
      </c>
      <c r="U31" s="86">
        <f t="shared" si="17"/>
        <v>1099</v>
      </c>
      <c r="V31" s="86">
        <v>0</v>
      </c>
      <c r="W31" s="44">
        <f t="shared" si="18"/>
        <v>1099</v>
      </c>
      <c r="X31" s="173">
        <f>1502+62.5-62.5-46.5</f>
        <v>1455.5</v>
      </c>
      <c r="Y31" s="84">
        <f>92+150+78</f>
        <v>320</v>
      </c>
      <c r="Z31" s="84">
        <v>70</v>
      </c>
      <c r="AA31" s="86">
        <f t="shared" si="19"/>
        <v>1845.5</v>
      </c>
      <c r="AB31" s="86">
        <v>15</v>
      </c>
      <c r="AC31" s="44">
        <f t="shared" si="20"/>
        <v>1860.5</v>
      </c>
      <c r="AD31" s="26">
        <f t="shared" si="13"/>
        <v>0.97505371835857668</v>
      </c>
      <c r="AE31" s="3"/>
      <c r="AF31" s="3"/>
    </row>
    <row r="32" spans="1:32" x14ac:dyDescent="0.25">
      <c r="A32" s="3"/>
      <c r="B32" s="114" t="s">
        <v>26</v>
      </c>
      <c r="C32" s="7" t="s">
        <v>18</v>
      </c>
      <c r="D32" s="138">
        <f>SUM(D33:D34)</f>
        <v>326.09999999999997</v>
      </c>
      <c r="E32" s="84">
        <f t="shared" ref="E32" si="22">SUM(E33:E34)</f>
        <v>34468.9</v>
      </c>
      <c r="F32" s="188">
        <v>0</v>
      </c>
      <c r="G32" s="85">
        <f t="shared" si="21"/>
        <v>34795</v>
      </c>
      <c r="H32" s="63"/>
      <c r="I32" s="64"/>
      <c r="J32" s="86">
        <f>SUM(J33:J34)</f>
        <v>187.3</v>
      </c>
      <c r="K32" s="44">
        <f t="shared" si="14"/>
        <v>34982.300000000003</v>
      </c>
      <c r="L32" s="189">
        <v>400.8</v>
      </c>
      <c r="M32" s="84">
        <v>34880.400000000001</v>
      </c>
      <c r="N32" s="84">
        <v>10</v>
      </c>
      <c r="O32" s="86">
        <f t="shared" si="15"/>
        <v>35291.200000000004</v>
      </c>
      <c r="P32" s="86">
        <f>SUM(P33:P34)</f>
        <v>154</v>
      </c>
      <c r="Q32" s="44">
        <f t="shared" si="16"/>
        <v>35445.200000000004</v>
      </c>
      <c r="R32" s="189">
        <f>SUM(R33:R34)</f>
        <v>139.30000000000001</v>
      </c>
      <c r="S32" s="84">
        <f>SUM(S33:S34)</f>
        <v>16863.199999999997</v>
      </c>
      <c r="T32" s="84">
        <v>0</v>
      </c>
      <c r="U32" s="86">
        <f t="shared" si="17"/>
        <v>17002.499999999996</v>
      </c>
      <c r="V32" s="86">
        <f>SUM(V33:V34)</f>
        <v>79.381</v>
      </c>
      <c r="W32" s="44">
        <f t="shared" si="18"/>
        <v>17081.880999999998</v>
      </c>
      <c r="X32" s="136">
        <f>SUM(X33:X34)</f>
        <v>316.10000000000002</v>
      </c>
      <c r="Y32" s="84">
        <f>SUM(Y33:Y34)</f>
        <v>35210.400000000001</v>
      </c>
      <c r="Z32" s="84">
        <f>SUM(Z33:Z34)</f>
        <v>5</v>
      </c>
      <c r="AA32" s="86">
        <f t="shared" si="19"/>
        <v>35531.5</v>
      </c>
      <c r="AB32" s="86">
        <f>SUM(AB33:AB34)</f>
        <v>155</v>
      </c>
      <c r="AC32" s="44">
        <f t="shared" si="20"/>
        <v>35686.5</v>
      </c>
      <c r="AD32" s="26">
        <f t="shared" si="13"/>
        <v>1.0068076918736528</v>
      </c>
      <c r="AE32" s="3"/>
      <c r="AF32" s="3"/>
    </row>
    <row r="33" spans="1:32" x14ac:dyDescent="0.25">
      <c r="A33" s="3"/>
      <c r="B33" s="114" t="s">
        <v>28</v>
      </c>
      <c r="C33" s="7" t="s">
        <v>42</v>
      </c>
      <c r="D33" s="138"/>
      <c r="E33" s="84">
        <f>32440+1301.9</f>
        <v>33741.9</v>
      </c>
      <c r="F33" s="84">
        <v>0</v>
      </c>
      <c r="G33" s="85">
        <f t="shared" si="21"/>
        <v>33741.9</v>
      </c>
      <c r="H33" s="63"/>
      <c r="I33" s="64"/>
      <c r="J33" s="86">
        <v>52.7</v>
      </c>
      <c r="K33" s="44">
        <f t="shared" si="14"/>
        <v>33794.6</v>
      </c>
      <c r="L33" s="189">
        <v>290.8</v>
      </c>
      <c r="M33" s="84">
        <v>34544</v>
      </c>
      <c r="N33" s="84">
        <v>10</v>
      </c>
      <c r="O33" s="86">
        <f t="shared" si="15"/>
        <v>34844.800000000003</v>
      </c>
      <c r="P33" s="86">
        <v>44</v>
      </c>
      <c r="Q33" s="44">
        <f t="shared" si="16"/>
        <v>34888.800000000003</v>
      </c>
      <c r="R33" s="189">
        <v>111</v>
      </c>
      <c r="S33" s="84">
        <f>15373.9+208.4+872.1</f>
        <v>16454.399999999998</v>
      </c>
      <c r="T33" s="84">
        <v>0</v>
      </c>
      <c r="U33" s="86">
        <f t="shared" si="17"/>
        <v>16565.399999999998</v>
      </c>
      <c r="V33" s="86">
        <v>40.628999999999998</v>
      </c>
      <c r="W33" s="44">
        <f t="shared" si="18"/>
        <v>16606.028999999999</v>
      </c>
      <c r="X33" s="136">
        <f>290.8+1.3</f>
        <v>292.10000000000002</v>
      </c>
      <c r="Y33" s="84">
        <f>32318+1646+250+330+320</f>
        <v>34864</v>
      </c>
      <c r="Z33" s="84">
        <v>5</v>
      </c>
      <c r="AA33" s="86">
        <f t="shared" si="19"/>
        <v>35161.1</v>
      </c>
      <c r="AB33" s="86">
        <v>55</v>
      </c>
      <c r="AC33" s="44">
        <f t="shared" si="20"/>
        <v>35216.1</v>
      </c>
      <c r="AD33" s="26">
        <f t="shared" si="13"/>
        <v>1.0093812340923161</v>
      </c>
      <c r="AE33" s="3"/>
      <c r="AF33" s="3"/>
    </row>
    <row r="34" spans="1:32" x14ac:dyDescent="0.25">
      <c r="A34" s="3"/>
      <c r="B34" s="114" t="s">
        <v>30</v>
      </c>
      <c r="C34" s="8" t="s">
        <v>21</v>
      </c>
      <c r="D34" s="138">
        <f>288.9+37.2</f>
        <v>326.09999999999997</v>
      </c>
      <c r="E34" s="84">
        <f>200+527</f>
        <v>727</v>
      </c>
      <c r="F34" s="84">
        <v>0</v>
      </c>
      <c r="G34" s="85">
        <f t="shared" si="21"/>
        <v>1053.0999999999999</v>
      </c>
      <c r="H34" s="63"/>
      <c r="I34" s="64"/>
      <c r="J34" s="86">
        <v>134.6</v>
      </c>
      <c r="K34" s="44">
        <f t="shared" si="14"/>
        <v>1187.6999999999998</v>
      </c>
      <c r="L34" s="189">
        <v>110</v>
      </c>
      <c r="M34" s="84">
        <v>336.4</v>
      </c>
      <c r="N34" s="84">
        <v>0</v>
      </c>
      <c r="O34" s="86">
        <f>SUM(L34:N34)</f>
        <v>446.4</v>
      </c>
      <c r="P34" s="86">
        <v>110</v>
      </c>
      <c r="Q34" s="44">
        <f t="shared" si="16"/>
        <v>556.4</v>
      </c>
      <c r="R34" s="189">
        <v>28.3</v>
      </c>
      <c r="S34" s="84">
        <f>127.7+53.1+228</f>
        <v>408.8</v>
      </c>
      <c r="T34" s="84">
        <v>0</v>
      </c>
      <c r="U34" s="86">
        <f t="shared" si="17"/>
        <v>437.1</v>
      </c>
      <c r="V34" s="86">
        <v>38.752000000000002</v>
      </c>
      <c r="W34" s="44">
        <f t="shared" si="18"/>
        <v>475.85200000000003</v>
      </c>
      <c r="X34" s="173">
        <f>85-61</f>
        <v>24</v>
      </c>
      <c r="Y34" s="84">
        <f>180+ 76.4+80+10</f>
        <v>346.4</v>
      </c>
      <c r="Z34" s="84">
        <v>0</v>
      </c>
      <c r="AA34" s="86">
        <f t="shared" si="19"/>
        <v>370.4</v>
      </c>
      <c r="AB34" s="86">
        <v>100</v>
      </c>
      <c r="AC34" s="44">
        <f t="shared" si="20"/>
        <v>470.4</v>
      </c>
      <c r="AD34" s="26">
        <f t="shared" si="13"/>
        <v>0.84543493889288279</v>
      </c>
      <c r="AE34" s="3"/>
      <c r="AF34" s="3"/>
    </row>
    <row r="35" spans="1:32" x14ac:dyDescent="0.25">
      <c r="A35" s="3"/>
      <c r="B35" s="114" t="s">
        <v>32</v>
      </c>
      <c r="C35" s="7" t="s">
        <v>23</v>
      </c>
      <c r="D35" s="138">
        <f>97.7</f>
        <v>97.7</v>
      </c>
      <c r="E35" s="84">
        <f>10792.5+426.8</f>
        <v>11219.3</v>
      </c>
      <c r="F35" s="84">
        <v>0</v>
      </c>
      <c r="G35" s="85">
        <f t="shared" si="21"/>
        <v>11317</v>
      </c>
      <c r="H35" s="63"/>
      <c r="I35" s="64"/>
      <c r="J35" s="86">
        <v>39.1</v>
      </c>
      <c r="K35" s="44">
        <f t="shared" si="14"/>
        <v>11356.1</v>
      </c>
      <c r="L35" s="189">
        <v>110.89999999999999</v>
      </c>
      <c r="M35" s="84">
        <v>11645.599999999999</v>
      </c>
      <c r="N35" s="84">
        <v>0</v>
      </c>
      <c r="O35" s="86">
        <f t="shared" si="15"/>
        <v>11756.499999999998</v>
      </c>
      <c r="P35" s="86">
        <v>11.7</v>
      </c>
      <c r="Q35" s="44">
        <f t="shared" si="16"/>
        <v>11768.199999999999</v>
      </c>
      <c r="R35" s="189">
        <v>37.5</v>
      </c>
      <c r="S35" s="84">
        <f>5272+357.1</f>
        <v>5629.1</v>
      </c>
      <c r="T35" s="84">
        <v>0</v>
      </c>
      <c r="U35" s="86">
        <f t="shared" si="17"/>
        <v>5666.6</v>
      </c>
      <c r="V35" s="86">
        <v>13.733000000000001</v>
      </c>
      <c r="W35" s="44">
        <f t="shared" si="18"/>
        <v>5680.3330000000005</v>
      </c>
      <c r="X35" s="173">
        <f>2.8+98.3+0.4-2.8</f>
        <v>98.7</v>
      </c>
      <c r="Y35" s="84">
        <f>10984.3+556.3+105+80</f>
        <v>11725.599999999999</v>
      </c>
      <c r="Z35" s="84">
        <v>0</v>
      </c>
      <c r="AA35" s="86">
        <f t="shared" si="19"/>
        <v>11824.3</v>
      </c>
      <c r="AB35" s="86">
        <v>18.899999999999999</v>
      </c>
      <c r="AC35" s="44">
        <f t="shared" si="20"/>
        <v>11843.199999999999</v>
      </c>
      <c r="AD35" s="26">
        <f t="shared" si="13"/>
        <v>1.0063731071871653</v>
      </c>
      <c r="AE35" s="3"/>
      <c r="AF35" s="3"/>
    </row>
    <row r="36" spans="1:32" x14ac:dyDescent="0.25">
      <c r="A36" s="3"/>
      <c r="B36" s="114" t="s">
        <v>33</v>
      </c>
      <c r="C36" s="7" t="s">
        <v>25</v>
      </c>
      <c r="D36" s="138">
        <v>0</v>
      </c>
      <c r="E36" s="84">
        <v>0</v>
      </c>
      <c r="F36" s="84">
        <v>86.944469999999995</v>
      </c>
      <c r="G36" s="85">
        <f t="shared" si="21"/>
        <v>86.944469999999995</v>
      </c>
      <c r="H36" s="63"/>
      <c r="I36" s="64"/>
      <c r="J36" s="86">
        <v>0</v>
      </c>
      <c r="K36" s="44">
        <f t="shared" si="14"/>
        <v>86.944469999999995</v>
      </c>
      <c r="L36" s="106">
        <v>0</v>
      </c>
      <c r="M36" s="84">
        <v>0</v>
      </c>
      <c r="N36" s="84">
        <v>2</v>
      </c>
      <c r="O36" s="86">
        <f t="shared" si="15"/>
        <v>2</v>
      </c>
      <c r="P36" s="86">
        <v>0</v>
      </c>
      <c r="Q36" s="44">
        <f t="shared" si="16"/>
        <v>2</v>
      </c>
      <c r="R36" s="106">
        <v>0</v>
      </c>
      <c r="S36" s="84">
        <v>0</v>
      </c>
      <c r="T36" s="84">
        <v>63</v>
      </c>
      <c r="U36" s="86">
        <f t="shared" si="17"/>
        <v>63</v>
      </c>
      <c r="V36" s="86"/>
      <c r="W36" s="44">
        <f t="shared" si="18"/>
        <v>63</v>
      </c>
      <c r="X36" s="136">
        <v>0</v>
      </c>
      <c r="Y36" s="84">
        <v>0</v>
      </c>
      <c r="Z36" s="84">
        <v>130</v>
      </c>
      <c r="AA36" s="86">
        <f t="shared" si="19"/>
        <v>130</v>
      </c>
      <c r="AB36" s="86">
        <v>0</v>
      </c>
      <c r="AC36" s="44">
        <f t="shared" si="20"/>
        <v>130</v>
      </c>
      <c r="AD36" s="26">
        <f t="shared" si="13"/>
        <v>65</v>
      </c>
      <c r="AE36" s="3"/>
      <c r="AF36" s="3"/>
    </row>
    <row r="37" spans="1:32" x14ac:dyDescent="0.25">
      <c r="A37" s="3"/>
      <c r="B37" s="114" t="s">
        <v>34</v>
      </c>
      <c r="C37" s="7" t="s">
        <v>27</v>
      </c>
      <c r="D37" s="138">
        <v>1004.3</v>
      </c>
      <c r="E37" s="84">
        <v>0</v>
      </c>
      <c r="F37" s="84">
        <v>993.99400000000003</v>
      </c>
      <c r="G37" s="85">
        <f t="shared" si="21"/>
        <v>1998.2939999999999</v>
      </c>
      <c r="H37" s="63"/>
      <c r="I37" s="64"/>
      <c r="J37" s="86">
        <v>0</v>
      </c>
      <c r="K37" s="44">
        <f t="shared" si="14"/>
        <v>1998.2939999999999</v>
      </c>
      <c r="L37" s="106">
        <v>996.4</v>
      </c>
      <c r="M37" s="84">
        <v>0</v>
      </c>
      <c r="N37" s="84">
        <v>1030</v>
      </c>
      <c r="O37" s="86">
        <f t="shared" si="15"/>
        <v>2026.4</v>
      </c>
      <c r="P37" s="86">
        <v>0</v>
      </c>
      <c r="Q37" s="44">
        <f t="shared" si="16"/>
        <v>2026.4</v>
      </c>
      <c r="R37" s="106">
        <v>482.7</v>
      </c>
      <c r="S37" s="84">
        <v>0</v>
      </c>
      <c r="T37" s="84">
        <v>500.5</v>
      </c>
      <c r="U37" s="86">
        <f t="shared" si="17"/>
        <v>983.2</v>
      </c>
      <c r="V37" s="86">
        <v>0</v>
      </c>
      <c r="W37" s="44">
        <f t="shared" si="18"/>
        <v>983.2</v>
      </c>
      <c r="X37" s="136">
        <v>996.4</v>
      </c>
      <c r="Y37" s="84">
        <v>0</v>
      </c>
      <c r="Z37" s="84">
        <v>1030</v>
      </c>
      <c r="AA37" s="86">
        <f>SUM(X37:Z37)</f>
        <v>2026.4</v>
      </c>
      <c r="AB37" s="86">
        <v>0</v>
      </c>
      <c r="AC37" s="44">
        <f t="shared" si="20"/>
        <v>2026.4</v>
      </c>
      <c r="AD37" s="26">
        <f t="shared" si="13"/>
        <v>1</v>
      </c>
      <c r="AE37" s="3"/>
      <c r="AF37" s="3"/>
    </row>
    <row r="38" spans="1:32" ht="15.75" thickBot="1" x14ac:dyDescent="0.3">
      <c r="A38" s="3"/>
      <c r="B38" s="120" t="s">
        <v>35</v>
      </c>
      <c r="C38" s="121" t="s">
        <v>29</v>
      </c>
      <c r="D38" s="190">
        <f>9.7+243.1</f>
        <v>252.79999999999998</v>
      </c>
      <c r="E38" s="87">
        <f>1121.5+843.1</f>
        <v>1964.6</v>
      </c>
      <c r="F38" s="87">
        <v>215.744</v>
      </c>
      <c r="G38" s="85">
        <f t="shared" si="21"/>
        <v>2433.1440000000002</v>
      </c>
      <c r="H38" s="65"/>
      <c r="I38" s="66"/>
      <c r="J38" s="88">
        <v>1</v>
      </c>
      <c r="K38" s="47">
        <f t="shared" si="14"/>
        <v>2434.1440000000002</v>
      </c>
      <c r="L38" s="191">
        <v>604.6</v>
      </c>
      <c r="M38" s="87">
        <v>1754.5</v>
      </c>
      <c r="N38" s="87">
        <v>183</v>
      </c>
      <c r="O38" s="88">
        <f t="shared" si="15"/>
        <v>2542.1</v>
      </c>
      <c r="P38" s="88">
        <v>60.3</v>
      </c>
      <c r="Q38" s="47">
        <f t="shared" si="16"/>
        <v>2602.4</v>
      </c>
      <c r="R38" s="191">
        <f>156.3+7.1</f>
        <v>163.4</v>
      </c>
      <c r="S38" s="87">
        <f>302.5+113.6</f>
        <v>416.1</v>
      </c>
      <c r="T38" s="87">
        <v>96.4</v>
      </c>
      <c r="U38" s="88">
        <f t="shared" si="17"/>
        <v>675.9</v>
      </c>
      <c r="V38" s="88">
        <v>0.40629000000000004</v>
      </c>
      <c r="W38" s="47">
        <f t="shared" si="18"/>
        <v>676.30628999999999</v>
      </c>
      <c r="X38" s="174">
        <f>5.8+397.1-69.1</f>
        <v>333.80000000000007</v>
      </c>
      <c r="Y38" s="87">
        <f>320+32.9+100+266.6+1000+35+30</f>
        <v>1784.5</v>
      </c>
      <c r="Z38" s="87">
        <v>158</v>
      </c>
      <c r="AA38" s="88">
        <f t="shared" si="19"/>
        <v>2276.3000000000002</v>
      </c>
      <c r="AB38" s="88">
        <v>110.9</v>
      </c>
      <c r="AC38" s="47">
        <f t="shared" si="20"/>
        <v>2387.2000000000003</v>
      </c>
      <c r="AD38" s="27">
        <f t="shared" si="13"/>
        <v>0.91730710113741165</v>
      </c>
      <c r="AE38" s="3"/>
      <c r="AF38" s="3"/>
    </row>
    <row r="39" spans="1:32" ht="15.75" thickBot="1" x14ac:dyDescent="0.3">
      <c r="A39" s="3"/>
      <c r="B39" s="118" t="s">
        <v>48</v>
      </c>
      <c r="C39" s="122" t="s">
        <v>31</v>
      </c>
      <c r="D39" s="192">
        <f>SUM(D35:D38)+SUM(D28:D32)</f>
        <v>6405</v>
      </c>
      <c r="E39" s="67">
        <f>SUM(E35:E38)+SUM(E28:E32)</f>
        <v>48337.600000000006</v>
      </c>
      <c r="F39" s="67">
        <f>SUM(F35:F38)+SUM(F28:F32)</f>
        <v>3594.58518</v>
      </c>
      <c r="G39" s="68">
        <f>SUM(D39:F39)</f>
        <v>58337.185180000008</v>
      </c>
      <c r="H39" s="69"/>
      <c r="I39" s="70"/>
      <c r="J39" s="71">
        <f>SUM(J28:J32)+SUM(J35:J38)</f>
        <v>614.30000000000007</v>
      </c>
      <c r="K39" s="72">
        <f>SUM(K35:K38)+SUM(K28:K32)</f>
        <v>58951.485180000003</v>
      </c>
      <c r="L39" s="67">
        <f>SUM(L35:L38)+SUM(L28:L32)</f>
        <v>7814.1</v>
      </c>
      <c r="M39" s="67">
        <f>SUM(M35:M38)+SUM(M28:M32)</f>
        <v>48839.6</v>
      </c>
      <c r="N39" s="67">
        <f>SUM(N35:N38)+SUM(N28:N32)</f>
        <v>3440</v>
      </c>
      <c r="O39" s="73">
        <f>SUM(L39:N39)</f>
        <v>60093.7</v>
      </c>
      <c r="P39" s="71">
        <f>SUM(P28:P32)+SUM(P35:P38)</f>
        <v>570</v>
      </c>
      <c r="Q39" s="72">
        <f>SUM(Q35:Q38)+SUM(Q28:Q32)</f>
        <v>60663.700000000004</v>
      </c>
      <c r="R39" s="67">
        <f>SUM(R35:R38)+SUM(R28:R32)</f>
        <v>3839.5</v>
      </c>
      <c r="S39" s="67">
        <f>SUM(S35:S38)+SUM(S28:S32)</f>
        <v>23318.499999999996</v>
      </c>
      <c r="T39" s="67">
        <f>SUM(T35:T38)+SUM(T28:T32)</f>
        <v>1926.6999999999998</v>
      </c>
      <c r="U39" s="73">
        <f>SUM(R39:T39)</f>
        <v>29084.699999999997</v>
      </c>
      <c r="V39" s="71">
        <f>SUM(V28:V32)+SUM(V35:V38)</f>
        <v>288.73132000000004</v>
      </c>
      <c r="W39" s="72">
        <f>SUM(W35:W38)+SUM(W28:W32)</f>
        <v>29373.431319999996</v>
      </c>
      <c r="X39" s="67">
        <f>SUM(X35:X38)+SUM(X28:X32)</f>
        <v>7396.7000000000007</v>
      </c>
      <c r="Y39" s="67">
        <f>SUM(Y35:Y38)+SUM(Y28:Y32)</f>
        <v>49377.599999999999</v>
      </c>
      <c r="Z39" s="67">
        <f>SUM(Z35:Z38)+SUM(Z28:Z32)</f>
        <v>4066</v>
      </c>
      <c r="AA39" s="73">
        <f>SUM(X39:Z39)</f>
        <v>60840.3</v>
      </c>
      <c r="AB39" s="71">
        <f>SUM(AB28:AB32)+SUM(AB35:AB38)</f>
        <v>679.59999999999991</v>
      </c>
      <c r="AC39" s="72">
        <f>SUM(AC35:AC38)+SUM(AC28:AC32)</f>
        <v>61519.899999999994</v>
      </c>
      <c r="AD39" s="29">
        <f t="shared" si="13"/>
        <v>1.0141138769972815</v>
      </c>
      <c r="AE39" s="3"/>
      <c r="AF39" s="3"/>
    </row>
    <row r="40" spans="1:32" ht="19.5" thickBot="1" x14ac:dyDescent="0.35">
      <c r="A40" s="3"/>
      <c r="B40" s="123" t="s">
        <v>49</v>
      </c>
      <c r="C40" s="124" t="s">
        <v>51</v>
      </c>
      <c r="D40" s="193">
        <f>D24-D39</f>
        <v>-174</v>
      </c>
      <c r="E40" s="193">
        <f>E24-E39</f>
        <v>-427.00000000000728</v>
      </c>
      <c r="F40" s="193">
        <f>F24-F39</f>
        <v>664.06188999999995</v>
      </c>
      <c r="G40" s="194">
        <f>G24-G39</f>
        <v>63.061889999989944</v>
      </c>
      <c r="H40" s="195"/>
      <c r="I40" s="195"/>
      <c r="J40" s="194">
        <f t="shared" ref="J40:Q40" si="23">J24-J39</f>
        <v>72.399999999999977</v>
      </c>
      <c r="K40" s="196">
        <f>K24-K39</f>
        <v>135.4618899999914</v>
      </c>
      <c r="L40" s="193">
        <f t="shared" si="23"/>
        <v>0</v>
      </c>
      <c r="M40" s="193">
        <f t="shared" si="23"/>
        <v>0</v>
      </c>
      <c r="N40" s="193">
        <f t="shared" si="23"/>
        <v>0</v>
      </c>
      <c r="O40" s="194">
        <f t="shared" si="23"/>
        <v>0</v>
      </c>
      <c r="P40" s="194">
        <f t="shared" si="23"/>
        <v>0</v>
      </c>
      <c r="Q40" s="196">
        <f t="shared" si="23"/>
        <v>0</v>
      </c>
      <c r="R40" s="193">
        <f t="shared" ref="R40:W40" si="24">R24-R39</f>
        <v>-294.80000000000018</v>
      </c>
      <c r="S40" s="193">
        <f t="shared" si="24"/>
        <v>2688.4000000000051</v>
      </c>
      <c r="T40" s="193">
        <f t="shared" si="24"/>
        <v>281.5</v>
      </c>
      <c r="U40" s="194">
        <f t="shared" si="24"/>
        <v>2675.1000000000058</v>
      </c>
      <c r="V40" s="194">
        <f t="shared" si="24"/>
        <v>129.46867999999995</v>
      </c>
      <c r="W40" s="196">
        <f t="shared" si="24"/>
        <v>2804.568680000004</v>
      </c>
      <c r="X40" s="193">
        <f>X24-X39</f>
        <v>0</v>
      </c>
      <c r="Y40" s="193">
        <f t="shared" ref="Y40:AC40" si="25">Y24-Y39</f>
        <v>0</v>
      </c>
      <c r="Z40" s="193">
        <f>Z24-Z39</f>
        <v>0</v>
      </c>
      <c r="AA40" s="194">
        <f t="shared" si="25"/>
        <v>0</v>
      </c>
      <c r="AB40" s="194">
        <f t="shared" si="25"/>
        <v>0</v>
      </c>
      <c r="AC40" s="196">
        <f t="shared" si="25"/>
        <v>0</v>
      </c>
      <c r="AD40" s="30" t="e">
        <f t="shared" si="13"/>
        <v>#DIV/0!</v>
      </c>
      <c r="AE40" s="3"/>
      <c r="AF40" s="3"/>
    </row>
    <row r="41" spans="1:32" ht="15.75" thickBot="1" x14ac:dyDescent="0.3">
      <c r="A41" s="3"/>
      <c r="B41" s="125" t="s">
        <v>50</v>
      </c>
      <c r="C41" s="126" t="s">
        <v>65</v>
      </c>
      <c r="D41" s="197"/>
      <c r="E41" s="198"/>
      <c r="F41" s="198"/>
      <c r="G41" s="199"/>
      <c r="H41" s="200"/>
      <c r="I41" s="200"/>
      <c r="J41" s="128"/>
      <c r="K41" s="129">
        <f>K40-D16</f>
        <v>-5612.2381100000084</v>
      </c>
      <c r="L41" s="197"/>
      <c r="M41" s="198"/>
      <c r="N41" s="198"/>
      <c r="O41" s="127"/>
      <c r="P41" s="130"/>
      <c r="Q41" s="129">
        <f>Q40-L16</f>
        <v>-6783.2</v>
      </c>
      <c r="R41" s="197"/>
      <c r="S41" s="198"/>
      <c r="T41" s="198"/>
      <c r="U41" s="127"/>
      <c r="V41" s="130"/>
      <c r="W41" s="129">
        <f>W40-R16</f>
        <v>-245.63131999999587</v>
      </c>
      <c r="X41" s="197"/>
      <c r="Y41" s="198"/>
      <c r="Z41" s="198"/>
      <c r="AA41" s="127"/>
      <c r="AB41" s="130"/>
      <c r="AC41" s="129">
        <f>AC40-X16</f>
        <v>-7000</v>
      </c>
      <c r="AD41" s="26">
        <f t="shared" si="13"/>
        <v>1.0319613161929473</v>
      </c>
      <c r="AE41" s="3"/>
      <c r="AF41" s="3"/>
    </row>
    <row r="42" spans="1:32" ht="8.25" customHeight="1" thickBot="1" x14ac:dyDescent="0.3">
      <c r="A42" s="3"/>
      <c r="B42" s="131"/>
      <c r="C42" s="132"/>
      <c r="D42" s="40"/>
      <c r="E42" s="36"/>
      <c r="F42" s="36"/>
      <c r="G42" s="6"/>
      <c r="H42" s="6"/>
      <c r="I42" s="6"/>
      <c r="J42" s="36"/>
      <c r="K42" s="36"/>
      <c r="L42" s="40"/>
      <c r="M42" s="36"/>
      <c r="N42" s="36"/>
      <c r="O42" s="6"/>
      <c r="P42" s="36"/>
      <c r="Q42" s="36"/>
      <c r="R42" s="36"/>
      <c r="S42" s="36"/>
      <c r="T42" s="36"/>
      <c r="U42" s="36"/>
      <c r="V42" s="36"/>
      <c r="W42" s="36"/>
      <c r="X42" s="6"/>
      <c r="Y42" s="6"/>
      <c r="Z42" s="6"/>
      <c r="AA42" s="6"/>
      <c r="AB42" s="6"/>
      <c r="AC42" s="6"/>
      <c r="AD42" s="3"/>
      <c r="AE42" s="3"/>
      <c r="AF42" s="3"/>
    </row>
    <row r="43" spans="1:32" ht="15.75" customHeight="1" thickBot="1" x14ac:dyDescent="0.3">
      <c r="A43" s="3"/>
      <c r="B43" s="131"/>
      <c r="C43" s="242" t="s">
        <v>82</v>
      </c>
      <c r="D43" s="201" t="s">
        <v>41</v>
      </c>
      <c r="E43" s="202" t="s">
        <v>83</v>
      </c>
      <c r="F43" s="203" t="s">
        <v>36</v>
      </c>
      <c r="G43" s="36"/>
      <c r="H43" s="36"/>
      <c r="I43" s="36"/>
      <c r="J43" s="36"/>
      <c r="K43" s="39"/>
      <c r="L43" s="201" t="s">
        <v>41</v>
      </c>
      <c r="M43" s="202" t="s">
        <v>83</v>
      </c>
      <c r="N43" s="203" t="s">
        <v>36</v>
      </c>
      <c r="O43" s="36"/>
      <c r="P43" s="36"/>
      <c r="Q43" s="36"/>
      <c r="R43" s="201" t="s">
        <v>41</v>
      </c>
      <c r="S43" s="202" t="s">
        <v>83</v>
      </c>
      <c r="T43" s="203" t="s">
        <v>36</v>
      </c>
      <c r="U43" s="6"/>
      <c r="V43" s="6"/>
      <c r="W43" s="6"/>
      <c r="X43" s="201" t="s">
        <v>41</v>
      </c>
      <c r="Y43" s="202" t="s">
        <v>83</v>
      </c>
      <c r="Z43" s="203" t="s">
        <v>36</v>
      </c>
      <c r="AA43" s="6"/>
      <c r="AB43" s="6"/>
      <c r="AC43" s="6"/>
      <c r="AD43" s="3"/>
      <c r="AE43" s="3"/>
      <c r="AF43" s="3"/>
    </row>
    <row r="44" spans="1:32" ht="15.75" thickBot="1" x14ac:dyDescent="0.3">
      <c r="A44" s="3"/>
      <c r="B44" s="131"/>
      <c r="C44" s="243"/>
      <c r="D44" s="74">
        <f>SUM(E44:F44)</f>
        <v>642.1</v>
      </c>
      <c r="E44" s="110">
        <v>642.1</v>
      </c>
      <c r="F44" s="75"/>
      <c r="G44" s="36"/>
      <c r="H44" s="36"/>
      <c r="I44" s="36"/>
      <c r="J44" s="36"/>
      <c r="K44" s="39"/>
      <c r="L44" s="74">
        <v>642.1</v>
      </c>
      <c r="M44" s="110">
        <v>642.1</v>
      </c>
      <c r="N44" s="75">
        <v>0</v>
      </c>
      <c r="O44" s="76"/>
      <c r="P44" s="76"/>
      <c r="Q44" s="76"/>
      <c r="R44" s="74">
        <v>321</v>
      </c>
      <c r="S44" s="110">
        <v>321</v>
      </c>
      <c r="T44" s="75">
        <v>0</v>
      </c>
      <c r="U44" s="6"/>
      <c r="V44" s="6"/>
      <c r="W44" s="6"/>
      <c r="X44" s="204">
        <v>642.1</v>
      </c>
      <c r="Y44" s="110">
        <v>642.1</v>
      </c>
      <c r="Z44" s="75">
        <v>0</v>
      </c>
      <c r="AA44" s="6"/>
      <c r="AB44" s="6"/>
      <c r="AC44" s="6"/>
      <c r="AD44" s="3"/>
      <c r="AE44" s="3"/>
      <c r="AF44" s="3"/>
    </row>
    <row r="45" spans="1:32" ht="8.25" customHeight="1" thickBot="1" x14ac:dyDescent="0.3">
      <c r="A45" s="3"/>
      <c r="B45" s="131"/>
      <c r="C45" s="132"/>
      <c r="D45" s="76"/>
      <c r="E45" s="36"/>
      <c r="F45" s="36"/>
      <c r="G45" s="36"/>
      <c r="H45" s="36"/>
      <c r="I45" s="36"/>
      <c r="J45" s="36"/>
      <c r="K45" s="39"/>
      <c r="L45" s="36"/>
      <c r="M45" s="36"/>
      <c r="N45" s="36"/>
      <c r="O45" s="36"/>
      <c r="P45" s="36"/>
      <c r="Q45" s="39"/>
      <c r="R45" s="39"/>
      <c r="S45" s="39"/>
      <c r="T45" s="39"/>
      <c r="U45" s="39"/>
      <c r="V45" s="39"/>
      <c r="W45" s="39"/>
      <c r="X45" s="6"/>
      <c r="Y45" s="6"/>
      <c r="Z45" s="6"/>
      <c r="AA45" s="6"/>
      <c r="AB45" s="6"/>
      <c r="AC45" s="6"/>
      <c r="AD45" s="3"/>
      <c r="AE45" s="3"/>
      <c r="AF45" s="3"/>
    </row>
    <row r="46" spans="1:32" ht="37.5" customHeight="1" thickBot="1" x14ac:dyDescent="0.3">
      <c r="A46" s="3"/>
      <c r="B46" s="131"/>
      <c r="C46" s="242" t="s">
        <v>85</v>
      </c>
      <c r="D46" s="77" t="s">
        <v>86</v>
      </c>
      <c r="E46" s="78" t="s">
        <v>84</v>
      </c>
      <c r="F46" s="36"/>
      <c r="G46" s="36"/>
      <c r="H46" s="36"/>
      <c r="I46" s="36"/>
      <c r="J46" s="36"/>
      <c r="K46" s="39"/>
      <c r="L46" s="77" t="s">
        <v>86</v>
      </c>
      <c r="M46" s="78" t="s">
        <v>84</v>
      </c>
      <c r="N46" s="79"/>
      <c r="O46" s="79"/>
      <c r="P46" s="6"/>
      <c r="Q46" s="6"/>
      <c r="R46" s="77" t="s">
        <v>86</v>
      </c>
      <c r="S46" s="78" t="s">
        <v>84</v>
      </c>
      <c r="T46" s="6"/>
      <c r="U46" s="6"/>
      <c r="V46" s="6"/>
      <c r="W46" s="6"/>
      <c r="X46" s="77" t="s">
        <v>86</v>
      </c>
      <c r="Y46" s="78" t="s">
        <v>84</v>
      </c>
      <c r="Z46" s="6"/>
      <c r="AA46" s="6"/>
      <c r="AB46" s="6"/>
      <c r="AC46" s="6"/>
      <c r="AD46" s="3"/>
      <c r="AE46" s="3"/>
      <c r="AF46" s="3"/>
    </row>
    <row r="47" spans="1:32" ht="15.75" thickBot="1" x14ac:dyDescent="0.3">
      <c r="A47" s="3"/>
      <c r="B47" s="133"/>
      <c r="C47" s="244"/>
      <c r="D47" s="74">
        <v>0</v>
      </c>
      <c r="E47" s="80">
        <v>0</v>
      </c>
      <c r="F47" s="36"/>
      <c r="G47" s="36"/>
      <c r="H47" s="36"/>
      <c r="I47" s="36"/>
      <c r="J47" s="36"/>
      <c r="K47" s="39"/>
      <c r="L47" s="74">
        <v>0</v>
      </c>
      <c r="M47" s="80">
        <v>0</v>
      </c>
      <c r="N47" s="37"/>
      <c r="O47" s="37"/>
      <c r="P47" s="6"/>
      <c r="Q47" s="6"/>
      <c r="R47" s="74">
        <v>0</v>
      </c>
      <c r="S47" s="80">
        <v>0</v>
      </c>
      <c r="T47" s="6"/>
      <c r="U47" s="6"/>
      <c r="V47" s="6"/>
      <c r="W47" s="170"/>
      <c r="X47" s="74">
        <v>0</v>
      </c>
      <c r="Y47" s="80">
        <v>0</v>
      </c>
      <c r="Z47" s="6"/>
      <c r="AA47" s="6"/>
      <c r="AB47" s="6"/>
      <c r="AC47" s="6"/>
      <c r="AD47" s="3"/>
      <c r="AE47" s="3"/>
      <c r="AF47" s="3"/>
    </row>
    <row r="48" spans="1:32" x14ac:dyDescent="0.25">
      <c r="A48" s="3"/>
      <c r="B48" s="133"/>
      <c r="C48" s="132"/>
      <c r="D48" s="36"/>
      <c r="E48" s="36"/>
      <c r="F48" s="36"/>
      <c r="G48" s="36"/>
      <c r="H48" s="36"/>
      <c r="I48" s="36"/>
      <c r="J48" s="36"/>
      <c r="K48" s="39"/>
      <c r="L48" s="36"/>
      <c r="M48" s="36"/>
      <c r="N48" s="36"/>
      <c r="O48" s="36"/>
      <c r="P48" s="36"/>
      <c r="Q48" s="39"/>
      <c r="R48" s="39"/>
      <c r="S48" s="39"/>
      <c r="T48" s="39"/>
      <c r="U48" s="39"/>
      <c r="V48" s="39"/>
      <c r="W48" s="39"/>
      <c r="X48" s="6"/>
      <c r="Y48" s="6"/>
      <c r="Z48" s="6"/>
      <c r="AA48" s="6"/>
      <c r="AB48" s="6"/>
      <c r="AC48" s="6"/>
      <c r="AD48" s="3"/>
      <c r="AE48" s="3"/>
      <c r="AF48" s="3"/>
    </row>
    <row r="49" spans="1:32" x14ac:dyDescent="0.25">
      <c r="A49" s="3"/>
      <c r="B49" s="133"/>
      <c r="C49" s="134" t="s">
        <v>81</v>
      </c>
      <c r="D49" s="38" t="s">
        <v>72</v>
      </c>
      <c r="E49" s="38" t="s">
        <v>73</v>
      </c>
      <c r="F49" s="38" t="s">
        <v>90</v>
      </c>
      <c r="G49" s="38" t="s">
        <v>92</v>
      </c>
      <c r="H49" s="36"/>
      <c r="I49" s="36"/>
      <c r="J49" s="36"/>
      <c r="K49" s="6"/>
      <c r="L49" s="38" t="s">
        <v>72</v>
      </c>
      <c r="M49" s="38" t="s">
        <v>73</v>
      </c>
      <c r="N49" s="38" t="s">
        <v>90</v>
      </c>
      <c r="O49" s="38" t="s">
        <v>93</v>
      </c>
      <c r="P49" s="6"/>
      <c r="Q49" s="6"/>
      <c r="R49" s="38" t="s">
        <v>72</v>
      </c>
      <c r="S49" s="38" t="s">
        <v>73</v>
      </c>
      <c r="T49" s="38" t="s">
        <v>90</v>
      </c>
      <c r="U49" s="38" t="s">
        <v>100</v>
      </c>
      <c r="V49" s="6"/>
      <c r="W49" s="6"/>
      <c r="X49" s="38" t="s">
        <v>94</v>
      </c>
      <c r="Y49" s="38" t="s">
        <v>73</v>
      </c>
      <c r="Z49" s="38" t="s">
        <v>90</v>
      </c>
      <c r="AA49" s="38" t="s">
        <v>93</v>
      </c>
      <c r="AB49" s="6"/>
      <c r="AC49" s="6"/>
      <c r="AD49" s="3"/>
      <c r="AE49" s="3"/>
      <c r="AF49" s="3"/>
    </row>
    <row r="50" spans="1:32" x14ac:dyDescent="0.25">
      <c r="A50" s="3"/>
      <c r="B50" s="133"/>
      <c r="C50" s="18" t="s">
        <v>69</v>
      </c>
      <c r="D50" s="205">
        <f>SUM(D51:D54)</f>
        <v>2234.1999999999998</v>
      </c>
      <c r="E50" s="205">
        <f t="shared" ref="E50:F50" si="26">SUM(E51:E54)</f>
        <v>6696.1</v>
      </c>
      <c r="F50" s="205">
        <f t="shared" si="26"/>
        <v>2234</v>
      </c>
      <c r="G50" s="35">
        <f>D50+E50-F50</f>
        <v>6696.2999999999993</v>
      </c>
      <c r="H50" s="36"/>
      <c r="I50" s="36"/>
      <c r="J50" s="36"/>
      <c r="K50" s="6"/>
      <c r="L50" s="205">
        <f>SUM(L51:L54)</f>
        <v>2785.7999999999997</v>
      </c>
      <c r="M50" s="205">
        <f t="shared" ref="M50:O50" si="27">SUM(M51:M54)</f>
        <v>1362</v>
      </c>
      <c r="N50" s="205">
        <f t="shared" si="27"/>
        <v>1765.6999999999998</v>
      </c>
      <c r="O50" s="205">
        <f t="shared" si="27"/>
        <v>2382.1000000000004</v>
      </c>
      <c r="P50" s="6"/>
      <c r="Q50" s="6"/>
      <c r="R50" s="205">
        <f>SUM(R51:R54)</f>
        <v>6696.3</v>
      </c>
      <c r="S50" s="205">
        <f t="shared" ref="S50:T50" si="28">SUM(S51:S54)</f>
        <v>830.1</v>
      </c>
      <c r="T50" s="205">
        <f t="shared" si="28"/>
        <v>4939.3</v>
      </c>
      <c r="U50" s="35">
        <f>R50+S50-T50</f>
        <v>2587.1000000000004</v>
      </c>
      <c r="V50" s="6"/>
      <c r="W50" s="6"/>
      <c r="X50" s="205">
        <f>SUM(X51:X54)</f>
        <v>2819.8</v>
      </c>
      <c r="Y50" s="205">
        <f t="shared" ref="Y50:Z50" si="29">SUM(Y51:Y54)</f>
        <v>1671</v>
      </c>
      <c r="Z50" s="205">
        <f t="shared" si="29"/>
        <v>805</v>
      </c>
      <c r="AA50" s="35">
        <f>X50+Y50-Z50</f>
        <v>3685.8</v>
      </c>
      <c r="AB50" s="6"/>
      <c r="AC50" s="6"/>
      <c r="AD50" s="3"/>
      <c r="AE50" s="3"/>
      <c r="AF50" s="3"/>
    </row>
    <row r="51" spans="1:32" x14ac:dyDescent="0.25">
      <c r="A51" s="3"/>
      <c r="B51" s="133"/>
      <c r="C51" s="207" t="s">
        <v>70</v>
      </c>
      <c r="D51" s="205">
        <v>1075.5999999999999</v>
      </c>
      <c r="E51" s="205">
        <v>5006.6000000000004</v>
      </c>
      <c r="F51" s="205">
        <v>420.6</v>
      </c>
      <c r="G51" s="35">
        <f t="shared" ref="G51:G54" si="30">D51+E51-F51</f>
        <v>5661.6</v>
      </c>
      <c r="H51" s="36"/>
      <c r="I51" s="36"/>
      <c r="J51" s="36"/>
      <c r="K51" s="6"/>
      <c r="L51" s="205">
        <v>1145.5999999999999</v>
      </c>
      <c r="M51" s="205">
        <v>50</v>
      </c>
      <c r="N51" s="205">
        <v>770.8</v>
      </c>
      <c r="O51" s="35">
        <f t="shared" ref="O51:O54" si="31">L51+M51-N51</f>
        <v>424.79999999999995</v>
      </c>
      <c r="P51" s="6"/>
      <c r="Q51" s="6"/>
      <c r="R51" s="205">
        <f>G51</f>
        <v>5661.6</v>
      </c>
      <c r="S51" s="205">
        <v>154.19999999999999</v>
      </c>
      <c r="T51" s="205">
        <v>4276</v>
      </c>
      <c r="U51" s="35">
        <f>R51+S51-T51</f>
        <v>1539.8000000000002</v>
      </c>
      <c r="V51" s="6"/>
      <c r="W51" s="6"/>
      <c r="X51" s="205">
        <v>1539.8</v>
      </c>
      <c r="Y51" s="205">
        <v>300</v>
      </c>
      <c r="Z51" s="206">
        <v>400</v>
      </c>
      <c r="AA51" s="35">
        <f>X51+Y51-Z51</f>
        <v>1439.8</v>
      </c>
      <c r="AB51" s="6"/>
      <c r="AC51" s="6"/>
      <c r="AD51" s="3"/>
      <c r="AE51" s="3"/>
      <c r="AF51" s="3"/>
    </row>
    <row r="52" spans="1:32" x14ac:dyDescent="0.25">
      <c r="A52" s="3"/>
      <c r="B52" s="133"/>
      <c r="C52" s="18" t="s">
        <v>71</v>
      </c>
      <c r="D52" s="205">
        <v>294</v>
      </c>
      <c r="E52" s="205">
        <v>1004.3</v>
      </c>
      <c r="F52" s="205">
        <v>759.2</v>
      </c>
      <c r="G52" s="35">
        <f t="shared" si="30"/>
        <v>539.09999999999991</v>
      </c>
      <c r="H52" s="36"/>
      <c r="I52" s="36"/>
      <c r="J52" s="36"/>
      <c r="K52" s="6"/>
      <c r="L52" s="205">
        <v>631.89999999999975</v>
      </c>
      <c r="M52" s="205">
        <v>947.8</v>
      </c>
      <c r="N52" s="205">
        <v>639.9</v>
      </c>
      <c r="O52" s="35">
        <f t="shared" si="31"/>
        <v>939.79999999999984</v>
      </c>
      <c r="P52" s="6"/>
      <c r="Q52" s="6"/>
      <c r="R52" s="205">
        <f t="shared" ref="R52:R54" si="32">G52</f>
        <v>539.09999999999991</v>
      </c>
      <c r="S52" s="205">
        <v>482.7</v>
      </c>
      <c r="T52" s="205">
        <v>467.6</v>
      </c>
      <c r="U52" s="35">
        <f t="shared" ref="U52:U54" si="33">R52+S52-T52</f>
        <v>554.19999999999993</v>
      </c>
      <c r="V52" s="6"/>
      <c r="W52" s="6"/>
      <c r="X52" s="205">
        <v>1000</v>
      </c>
      <c r="Y52" s="206">
        <v>996</v>
      </c>
      <c r="Z52" s="206">
        <v>100</v>
      </c>
      <c r="AA52" s="35">
        <f>X52+Y52-Z52</f>
        <v>1896</v>
      </c>
      <c r="AB52" s="6"/>
      <c r="AC52" s="6"/>
      <c r="AD52" s="3"/>
      <c r="AE52" s="3"/>
      <c r="AF52" s="3"/>
    </row>
    <row r="53" spans="1:32" x14ac:dyDescent="0.25">
      <c r="A53" s="3"/>
      <c r="B53" s="133"/>
      <c r="C53" s="18" t="s">
        <v>87</v>
      </c>
      <c r="D53" s="205">
        <v>173.9</v>
      </c>
      <c r="E53" s="205">
        <v>3.8</v>
      </c>
      <c r="F53" s="205">
        <v>0</v>
      </c>
      <c r="G53" s="35">
        <f t="shared" si="30"/>
        <v>177.70000000000002</v>
      </c>
      <c r="H53" s="36"/>
      <c r="I53" s="36"/>
      <c r="J53" s="36"/>
      <c r="K53" s="6"/>
      <c r="L53" s="205">
        <v>175.9</v>
      </c>
      <c r="M53" s="205">
        <v>5</v>
      </c>
      <c r="N53" s="205">
        <v>5</v>
      </c>
      <c r="O53" s="35">
        <f t="shared" si="31"/>
        <v>175.9</v>
      </c>
      <c r="P53" s="6"/>
      <c r="Q53" s="6"/>
      <c r="R53" s="205">
        <f t="shared" si="32"/>
        <v>177.70000000000002</v>
      </c>
      <c r="S53" s="205">
        <v>27.1</v>
      </c>
      <c r="T53" s="205">
        <v>0</v>
      </c>
      <c r="U53" s="35">
        <f t="shared" si="33"/>
        <v>204.8</v>
      </c>
      <c r="V53" s="6"/>
      <c r="W53" s="6"/>
      <c r="X53" s="205">
        <v>200</v>
      </c>
      <c r="Y53" s="205">
        <v>25</v>
      </c>
      <c r="Z53" s="205">
        <v>5</v>
      </c>
      <c r="AA53" s="35">
        <f t="shared" ref="AA53:AA54" si="34">X53+Y53-Z53</f>
        <v>220</v>
      </c>
      <c r="AB53" s="6"/>
      <c r="AC53" s="6"/>
      <c r="AD53" s="3"/>
      <c r="AE53" s="3"/>
      <c r="AF53" s="3"/>
    </row>
    <row r="54" spans="1:32" x14ac:dyDescent="0.25">
      <c r="A54" s="3"/>
      <c r="B54" s="133"/>
      <c r="C54" s="18" t="s">
        <v>88</v>
      </c>
      <c r="D54" s="205">
        <v>690.7</v>
      </c>
      <c r="E54" s="205">
        <v>681.4</v>
      </c>
      <c r="F54" s="205">
        <v>1054.2</v>
      </c>
      <c r="G54" s="35">
        <f t="shared" si="30"/>
        <v>317.89999999999986</v>
      </c>
      <c r="H54" s="36"/>
      <c r="I54" s="36"/>
      <c r="J54" s="36"/>
      <c r="K54" s="6"/>
      <c r="L54" s="205">
        <v>832.40000000000009</v>
      </c>
      <c r="M54" s="205">
        <v>359.2</v>
      </c>
      <c r="N54" s="205">
        <v>350</v>
      </c>
      <c r="O54" s="35">
        <f t="shared" si="31"/>
        <v>841.60000000000014</v>
      </c>
      <c r="P54" s="6"/>
      <c r="Q54" s="6"/>
      <c r="R54" s="205">
        <f t="shared" si="32"/>
        <v>317.89999999999986</v>
      </c>
      <c r="S54" s="205">
        <v>166.1</v>
      </c>
      <c r="T54" s="205">
        <v>195.7</v>
      </c>
      <c r="U54" s="35">
        <f t="shared" si="33"/>
        <v>288.2999999999999</v>
      </c>
      <c r="V54" s="6"/>
      <c r="W54" s="6"/>
      <c r="X54" s="205">
        <v>80</v>
      </c>
      <c r="Y54" s="205">
        <v>350</v>
      </c>
      <c r="Z54" s="205">
        <v>300</v>
      </c>
      <c r="AA54" s="35">
        <f t="shared" si="34"/>
        <v>130</v>
      </c>
      <c r="AB54" s="6"/>
      <c r="AC54" s="6"/>
      <c r="AD54" s="3"/>
      <c r="AE54" s="3"/>
      <c r="AF54" s="3"/>
    </row>
    <row r="55" spans="1:32" ht="10.5" customHeight="1" x14ac:dyDescent="0.25">
      <c r="A55" s="3"/>
      <c r="B55" s="133"/>
      <c r="C55" s="132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3"/>
      <c r="AE55" s="3"/>
      <c r="AF55" s="3"/>
    </row>
    <row r="56" spans="1:32" x14ac:dyDescent="0.25">
      <c r="A56" s="3"/>
      <c r="B56" s="133"/>
      <c r="C56" s="134" t="s">
        <v>74</v>
      </c>
      <c r="D56" s="38" t="s">
        <v>75</v>
      </c>
      <c r="E56" s="38" t="s">
        <v>95</v>
      </c>
      <c r="F56" s="36"/>
      <c r="G56" s="36"/>
      <c r="H56" s="36"/>
      <c r="I56" s="36"/>
      <c r="J56" s="36"/>
      <c r="K56" s="39"/>
      <c r="L56" s="38" t="s">
        <v>96</v>
      </c>
      <c r="M56" s="36"/>
      <c r="N56" s="36"/>
      <c r="O56" s="36"/>
      <c r="P56" s="36"/>
      <c r="Q56" s="39"/>
      <c r="R56" s="38" t="s">
        <v>97</v>
      </c>
      <c r="S56" s="39"/>
      <c r="T56" s="39"/>
      <c r="U56" s="39"/>
      <c r="V56" s="39"/>
      <c r="W56" s="39"/>
      <c r="X56" s="38" t="s">
        <v>96</v>
      </c>
      <c r="Y56" s="6"/>
      <c r="Z56" s="6"/>
      <c r="AA56" s="6"/>
      <c r="AB56" s="6"/>
      <c r="AC56" s="6"/>
      <c r="AD56" s="3"/>
      <c r="AE56" s="3"/>
      <c r="AF56" s="3"/>
    </row>
    <row r="57" spans="1:32" x14ac:dyDescent="0.25">
      <c r="A57" s="3"/>
      <c r="B57" s="133"/>
      <c r="C57" s="18"/>
      <c r="D57" s="41">
        <v>66.900000000000006</v>
      </c>
      <c r="E57" s="41">
        <v>68.84</v>
      </c>
      <c r="F57" s="36"/>
      <c r="G57" s="36"/>
      <c r="H57" s="36"/>
      <c r="I57" s="36"/>
      <c r="J57" s="36"/>
      <c r="K57" s="39"/>
      <c r="L57" s="41">
        <v>68.900000000000006</v>
      </c>
      <c r="M57" s="36"/>
      <c r="N57" s="36"/>
      <c r="O57" s="36"/>
      <c r="P57" s="36"/>
      <c r="Q57" s="39"/>
      <c r="R57" s="41">
        <v>70.680000000000007</v>
      </c>
      <c r="S57" s="39"/>
      <c r="T57" s="39"/>
      <c r="U57" s="39"/>
      <c r="V57" s="39"/>
      <c r="W57" s="39"/>
      <c r="X57" s="41">
        <v>70.7</v>
      </c>
      <c r="Y57" s="6"/>
      <c r="Z57" s="6"/>
      <c r="AA57" s="6"/>
      <c r="AB57" s="6"/>
      <c r="AC57" s="6"/>
      <c r="AD57" s="3"/>
      <c r="AE57" s="3"/>
      <c r="AF57" s="3"/>
    </row>
    <row r="58" spans="1:32" x14ac:dyDescent="0.25">
      <c r="A58" s="3"/>
      <c r="B58" s="133"/>
      <c r="C58" s="132"/>
      <c r="D58" s="36"/>
      <c r="E58" s="36"/>
      <c r="F58" s="36"/>
      <c r="G58" s="36"/>
      <c r="H58" s="36"/>
      <c r="I58" s="36"/>
      <c r="J58" s="36"/>
      <c r="K58" s="39"/>
      <c r="L58" s="36"/>
      <c r="M58" s="36"/>
      <c r="N58" s="36"/>
      <c r="O58" s="36"/>
      <c r="P58" s="36"/>
      <c r="Q58" s="39"/>
      <c r="R58" s="39"/>
      <c r="S58" s="39"/>
      <c r="T58" s="39"/>
      <c r="U58" s="39"/>
      <c r="V58" s="39"/>
      <c r="W58" s="39"/>
      <c r="X58" s="6"/>
      <c r="Y58" s="6"/>
      <c r="Z58" s="6"/>
      <c r="AA58" s="6"/>
      <c r="AB58" s="6"/>
      <c r="AC58" s="6"/>
      <c r="AD58" s="3"/>
      <c r="AE58" s="3"/>
      <c r="AF58" s="3"/>
    </row>
    <row r="59" spans="1:32" ht="18.75" x14ac:dyDescent="0.3">
      <c r="A59" s="3"/>
      <c r="B59" s="146" t="s">
        <v>91</v>
      </c>
      <c r="C59" s="14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39"/>
      <c r="Y59" s="31"/>
      <c r="Z59" s="31"/>
      <c r="AA59" s="31"/>
      <c r="AB59" s="31"/>
      <c r="AC59" s="31"/>
      <c r="AD59" s="32"/>
      <c r="AE59" s="3"/>
      <c r="AF59" s="3"/>
    </row>
    <row r="60" spans="1:32" ht="18.75" x14ac:dyDescent="0.3">
      <c r="A60" s="3"/>
      <c r="B60" s="148" t="s">
        <v>120</v>
      </c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0"/>
      <c r="AD60" s="13"/>
      <c r="AE60" s="3"/>
      <c r="AF60" s="3"/>
    </row>
    <row r="61" spans="1:32" ht="18.75" x14ac:dyDescent="0.3">
      <c r="A61" s="3"/>
      <c r="B61" s="150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2"/>
      <c r="P61" s="151"/>
      <c r="Q61" s="151"/>
      <c r="R61" s="151"/>
      <c r="S61" s="151"/>
      <c r="T61" s="151"/>
      <c r="U61" s="151"/>
      <c r="V61" s="151"/>
      <c r="W61" s="151"/>
      <c r="X61" s="140"/>
      <c r="AD61" s="13"/>
      <c r="AE61" s="3"/>
      <c r="AF61" s="3"/>
    </row>
    <row r="62" spans="1:32" ht="18.75" x14ac:dyDescent="0.3">
      <c r="A62" s="3"/>
      <c r="B62" s="153" t="s">
        <v>109</v>
      </c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2"/>
      <c r="P62" s="151"/>
      <c r="Q62" s="151"/>
      <c r="R62" s="151"/>
      <c r="S62" s="151"/>
      <c r="T62" s="151"/>
      <c r="U62" s="151"/>
      <c r="V62" s="151"/>
      <c r="W62" s="151"/>
      <c r="AD62" s="13"/>
      <c r="AE62" s="3"/>
      <c r="AF62" s="3"/>
    </row>
    <row r="63" spans="1:32" ht="18.75" x14ac:dyDescent="0.3">
      <c r="A63" s="3"/>
      <c r="B63" s="153" t="s">
        <v>119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2"/>
      <c r="P63" s="151"/>
      <c r="Q63" s="151"/>
      <c r="R63" s="151"/>
      <c r="S63" s="151"/>
      <c r="T63" s="151"/>
      <c r="U63" s="151"/>
      <c r="V63" s="151"/>
      <c r="W63" s="151"/>
      <c r="AD63" s="13"/>
      <c r="AE63" s="3"/>
      <c r="AF63" s="3"/>
    </row>
    <row r="64" spans="1:32" ht="18.75" x14ac:dyDescent="0.3">
      <c r="A64" s="3"/>
      <c r="B64" s="153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  <c r="P64" s="151"/>
      <c r="Q64" s="151"/>
      <c r="R64" s="151"/>
      <c r="S64" s="151"/>
      <c r="T64" s="151"/>
      <c r="U64" s="151"/>
      <c r="V64" s="151"/>
      <c r="W64" s="151"/>
      <c r="AD64" s="13"/>
      <c r="AE64" s="3"/>
      <c r="AF64" s="3"/>
    </row>
    <row r="65" spans="1:32" ht="18.75" x14ac:dyDescent="0.3">
      <c r="A65" s="3"/>
      <c r="B65" s="154" t="s">
        <v>110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2"/>
      <c r="P65" s="151"/>
      <c r="Q65" s="151"/>
      <c r="R65" s="151"/>
      <c r="S65" s="151"/>
      <c r="T65" s="151"/>
      <c r="U65" s="151"/>
      <c r="V65" s="151"/>
      <c r="W65" s="151"/>
      <c r="AD65" s="13"/>
      <c r="AE65" s="3"/>
      <c r="AF65" s="3"/>
    </row>
    <row r="66" spans="1:32" ht="18.75" x14ac:dyDescent="0.3">
      <c r="A66" s="3"/>
      <c r="B66" s="153" t="s">
        <v>112</v>
      </c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2"/>
      <c r="P66" s="151"/>
      <c r="Q66" s="151"/>
      <c r="R66" s="151"/>
      <c r="S66" s="151"/>
      <c r="T66" s="151"/>
      <c r="U66" s="151"/>
      <c r="V66" s="151"/>
      <c r="W66" s="151"/>
      <c r="AD66" s="13"/>
      <c r="AE66" s="3"/>
      <c r="AF66" s="3"/>
    </row>
    <row r="67" spans="1:32" ht="18.75" x14ac:dyDescent="0.3">
      <c r="A67" s="3"/>
      <c r="B67" s="153" t="s">
        <v>121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2"/>
      <c r="P67" s="151"/>
      <c r="Q67" s="151"/>
      <c r="R67" s="151"/>
      <c r="S67" s="151"/>
      <c r="T67" s="151"/>
      <c r="U67" s="151"/>
      <c r="V67" s="151"/>
      <c r="W67" s="151"/>
      <c r="X67" s="140"/>
      <c r="AD67" s="13"/>
      <c r="AE67" s="3"/>
      <c r="AF67" s="3"/>
    </row>
    <row r="68" spans="1:32" ht="18.75" x14ac:dyDescent="0.3">
      <c r="A68" s="3"/>
      <c r="B68" s="153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2"/>
      <c r="P68" s="151"/>
      <c r="Q68" s="151"/>
      <c r="R68" s="151"/>
      <c r="S68" s="151"/>
      <c r="T68" s="151"/>
      <c r="U68" s="151"/>
      <c r="V68" s="151"/>
      <c r="W68" s="151"/>
      <c r="X68" s="140"/>
      <c r="AD68" s="13"/>
      <c r="AE68" s="3"/>
      <c r="AF68" s="3"/>
    </row>
    <row r="69" spans="1:32" ht="18.75" x14ac:dyDescent="0.3">
      <c r="A69" s="3"/>
      <c r="T69" s="151"/>
      <c r="U69" s="151"/>
      <c r="V69" s="151"/>
      <c r="W69" s="151"/>
      <c r="X69" s="140"/>
      <c r="AD69" s="13"/>
      <c r="AE69" s="3"/>
      <c r="AF69" s="3"/>
    </row>
    <row r="70" spans="1:32" ht="18.75" x14ac:dyDescent="0.3">
      <c r="A70" s="3"/>
      <c r="B70" s="153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2"/>
      <c r="P70" s="151"/>
      <c r="Q70" s="151"/>
      <c r="R70" s="151"/>
      <c r="S70" s="151"/>
      <c r="T70" s="151"/>
      <c r="U70" s="151"/>
      <c r="V70" s="151"/>
      <c r="W70" s="151"/>
      <c r="X70" s="140"/>
      <c r="AD70" s="13"/>
      <c r="AE70" s="3"/>
      <c r="AF70" s="3"/>
    </row>
    <row r="71" spans="1:32" ht="18.75" x14ac:dyDescent="0.3">
      <c r="A71" s="3"/>
      <c r="B71" s="168" t="s">
        <v>118</v>
      </c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40"/>
      <c r="AD71" s="13"/>
      <c r="AE71" s="3"/>
      <c r="AF71" s="3"/>
    </row>
    <row r="72" spans="1:32" ht="18.75" x14ac:dyDescent="0.3">
      <c r="A72" s="3"/>
      <c r="B72" s="165" t="s">
        <v>113</v>
      </c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40"/>
      <c r="AD72" s="13"/>
      <c r="AE72" s="3"/>
      <c r="AF72" s="3"/>
    </row>
    <row r="73" spans="1:32" ht="18.75" x14ac:dyDescent="0.3">
      <c r="A73" s="3"/>
      <c r="B73" s="157" t="s">
        <v>114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45"/>
      <c r="AD73" s="13"/>
      <c r="AE73" s="3"/>
      <c r="AF73" s="3"/>
    </row>
    <row r="74" spans="1:32" ht="18.75" x14ac:dyDescent="0.3">
      <c r="A74" s="3"/>
      <c r="B74" s="155"/>
      <c r="C74" s="158" t="s">
        <v>115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40"/>
      <c r="AD74" s="13"/>
      <c r="AE74" s="3"/>
      <c r="AF74" s="3"/>
    </row>
    <row r="75" spans="1:32" ht="18.75" x14ac:dyDescent="0.3">
      <c r="A75" s="3"/>
      <c r="B75" s="157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40"/>
      <c r="AD75" s="13"/>
      <c r="AE75" s="3"/>
      <c r="AF75" s="3"/>
    </row>
    <row r="76" spans="1:32" ht="18.75" x14ac:dyDescent="0.3">
      <c r="A76" s="3"/>
      <c r="B76" s="155" t="s">
        <v>116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40"/>
      <c r="AD76" s="13"/>
      <c r="AE76" s="3"/>
      <c r="AF76" s="3"/>
    </row>
    <row r="77" spans="1:32" ht="18.75" x14ac:dyDescent="0.3">
      <c r="A77" s="3"/>
      <c r="B77" s="150"/>
      <c r="C77" s="156" t="s">
        <v>111</v>
      </c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40"/>
      <c r="AD77" s="13"/>
      <c r="AE77" s="3"/>
      <c r="AF77" s="3"/>
    </row>
    <row r="78" spans="1:32" ht="18.75" x14ac:dyDescent="0.3">
      <c r="A78" s="3"/>
      <c r="B78" s="150"/>
      <c r="C78" s="159" t="s">
        <v>117</v>
      </c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56"/>
      <c r="S78" s="156"/>
      <c r="T78" s="156"/>
      <c r="U78" s="156"/>
      <c r="V78" s="156"/>
      <c r="W78" s="156"/>
      <c r="X78" s="140"/>
      <c r="AD78" s="13"/>
      <c r="AE78" s="3"/>
      <c r="AF78" s="3"/>
    </row>
    <row r="79" spans="1:32" ht="18.75" x14ac:dyDescent="0.3">
      <c r="A79" s="3"/>
      <c r="B79" s="150"/>
      <c r="C79" s="159" t="s">
        <v>108</v>
      </c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56"/>
      <c r="S79" s="156"/>
      <c r="T79" s="156"/>
      <c r="U79" s="156"/>
      <c r="V79" s="156"/>
      <c r="W79" s="156"/>
      <c r="AD79" s="13"/>
      <c r="AE79" s="3"/>
      <c r="AF79" s="3"/>
    </row>
    <row r="80" spans="1:32" ht="18.75" x14ac:dyDescent="0.3">
      <c r="A80" s="3"/>
      <c r="B80" s="161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56"/>
      <c r="S80" s="156"/>
      <c r="T80" s="156"/>
      <c r="U80" s="156"/>
      <c r="V80" s="156"/>
      <c r="W80" s="156"/>
      <c r="AD80" s="13"/>
      <c r="AE80" s="3"/>
      <c r="AF80" s="3"/>
    </row>
    <row r="81" spans="1:32" ht="18.75" x14ac:dyDescent="0.3">
      <c r="A81" s="3"/>
      <c r="B81" s="155" t="s">
        <v>125</v>
      </c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AD81" s="13"/>
      <c r="AE81" s="3"/>
      <c r="AF81" s="3"/>
    </row>
    <row r="82" spans="1:32" ht="18.75" x14ac:dyDescent="0.3">
      <c r="A82" s="3"/>
      <c r="B82" s="157"/>
      <c r="C82" s="158" t="s">
        <v>124</v>
      </c>
      <c r="D82" s="158"/>
      <c r="E82" s="158"/>
      <c r="F82" s="158"/>
      <c r="G82" s="158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AD82" s="13"/>
      <c r="AE82" s="3"/>
      <c r="AF82" s="3"/>
    </row>
    <row r="83" spans="1:32" x14ac:dyDescent="0.25">
      <c r="A83" s="3"/>
      <c r="B83" s="141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81"/>
      <c r="S83" s="81"/>
      <c r="T83" s="81"/>
      <c r="U83" s="81"/>
      <c r="V83" s="81"/>
      <c r="W83" s="81"/>
      <c r="AD83" s="13"/>
      <c r="AE83" s="3"/>
      <c r="AF83" s="3"/>
    </row>
    <row r="84" spans="1:32" ht="18.75" x14ac:dyDescent="0.3">
      <c r="A84" s="3"/>
      <c r="B84" s="154" t="s">
        <v>123</v>
      </c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6"/>
      <c r="P84" s="175"/>
      <c r="Q84" s="175"/>
      <c r="R84" s="175"/>
      <c r="S84" s="175"/>
      <c r="T84" s="81"/>
      <c r="U84" s="81"/>
      <c r="V84" s="81"/>
      <c r="W84" s="81"/>
      <c r="AD84" s="13"/>
      <c r="AE84" s="3"/>
      <c r="AF84" s="3"/>
    </row>
    <row r="85" spans="1:32" x14ac:dyDescent="0.25">
      <c r="A85" s="3"/>
      <c r="B85" s="142"/>
      <c r="C85" s="143"/>
      <c r="D85" s="144"/>
      <c r="E85" s="144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2"/>
      <c r="S85" s="12"/>
      <c r="T85" s="12"/>
      <c r="U85" s="12"/>
      <c r="V85" s="12"/>
      <c r="W85" s="12"/>
      <c r="AD85" s="13"/>
      <c r="AE85" s="3"/>
      <c r="AF85" s="3"/>
    </row>
    <row r="86" spans="1:32" x14ac:dyDescent="0.25">
      <c r="A86" s="3"/>
      <c r="B86" s="14"/>
      <c r="C86" s="15"/>
      <c r="D86" s="2"/>
      <c r="E86" s="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AD86" s="13"/>
      <c r="AE86" s="3"/>
      <c r="AF86" s="3"/>
    </row>
    <row r="87" spans="1:32" x14ac:dyDescent="0.25">
      <c r="A87" s="3"/>
      <c r="B87" s="19"/>
      <c r="C87" s="20"/>
      <c r="D87" s="21"/>
      <c r="E87" s="21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33"/>
      <c r="Y87" s="33"/>
      <c r="Z87" s="33"/>
      <c r="AA87" s="33"/>
      <c r="AB87" s="33"/>
      <c r="AC87" s="33"/>
      <c r="AD87" s="34"/>
      <c r="AE87" s="3"/>
      <c r="AF87" s="3"/>
    </row>
    <row r="88" spans="1:32" x14ac:dyDescent="0.25">
      <c r="A88" s="3"/>
      <c r="B88" s="23"/>
      <c r="C88" s="22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3"/>
      <c r="Y88" s="3"/>
      <c r="Z88" s="3"/>
      <c r="AA88" s="3"/>
      <c r="AB88" s="3"/>
      <c r="AC88" s="3"/>
      <c r="AD88" s="3"/>
      <c r="AE88" s="3"/>
      <c r="AF88" s="3"/>
    </row>
    <row r="89" spans="1:32" x14ac:dyDescent="0.25">
      <c r="A89" s="3"/>
      <c r="B89" s="23"/>
      <c r="C89" s="22"/>
      <c r="D89" s="23"/>
      <c r="E89" s="23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3"/>
      <c r="Y89" s="3"/>
      <c r="Z89" s="3"/>
      <c r="AA89" s="3"/>
      <c r="AB89" s="3"/>
      <c r="AC89" s="3"/>
      <c r="AD89" s="3"/>
      <c r="AE89" s="3"/>
      <c r="AF89" s="3"/>
    </row>
    <row r="90" spans="1:32" x14ac:dyDescent="0.25">
      <c r="A90" s="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3"/>
      <c r="Y90" s="3"/>
      <c r="Z90" s="3"/>
      <c r="AA90" s="3"/>
      <c r="AB90" s="3"/>
      <c r="AC90" s="3"/>
      <c r="AD90" s="3"/>
      <c r="AE90" s="3"/>
      <c r="AF90" s="3"/>
    </row>
    <row r="91" spans="1:32" x14ac:dyDescent="0.25">
      <c r="A91" s="3"/>
      <c r="B91" s="9" t="s">
        <v>80</v>
      </c>
      <c r="C91" s="162">
        <v>45579</v>
      </c>
      <c r="D91" s="9" t="s">
        <v>76</v>
      </c>
      <c r="E91" s="238" t="s">
        <v>103</v>
      </c>
      <c r="F91" s="238"/>
      <c r="G91" s="238"/>
      <c r="H91" s="12"/>
      <c r="I91" s="12"/>
      <c r="J91" s="9"/>
      <c r="K91" s="9" t="s">
        <v>77</v>
      </c>
      <c r="L91" s="239" t="s">
        <v>101</v>
      </c>
      <c r="M91" s="239"/>
      <c r="N91" s="239"/>
      <c r="O91" s="239"/>
      <c r="P91" s="9"/>
      <c r="Q91" s="9"/>
      <c r="R91" s="9"/>
      <c r="S91" s="9"/>
      <c r="T91" s="9"/>
      <c r="U91" s="9"/>
      <c r="V91" s="9"/>
      <c r="W91" s="9"/>
      <c r="X91" s="3"/>
      <c r="Y91" s="3"/>
      <c r="Z91" s="3"/>
      <c r="AA91" s="3"/>
      <c r="AB91" s="3"/>
      <c r="AC91" s="3"/>
      <c r="AD91" s="3"/>
      <c r="AE91" s="3"/>
      <c r="AF91" s="3"/>
    </row>
    <row r="92" spans="1:32" ht="7.5" customHeight="1" x14ac:dyDescent="0.25">
      <c r="A92" s="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3"/>
      <c r="Y92" s="3"/>
      <c r="Z92" s="3"/>
      <c r="AA92" s="3"/>
      <c r="AB92" s="3"/>
      <c r="AC92" s="3"/>
      <c r="AD92" s="3"/>
      <c r="AE92" s="3"/>
      <c r="AF92" s="3"/>
    </row>
    <row r="93" spans="1:32" x14ac:dyDescent="0.25">
      <c r="A93" s="3"/>
      <c r="B93" s="9"/>
      <c r="C93" s="9"/>
      <c r="D93" s="9" t="s">
        <v>79</v>
      </c>
      <c r="E93" s="11"/>
      <c r="F93" s="11"/>
      <c r="G93" s="11"/>
      <c r="H93" s="11"/>
      <c r="I93" s="11"/>
      <c r="J93" s="9"/>
      <c r="K93" s="9" t="s">
        <v>79</v>
      </c>
      <c r="L93" s="10"/>
      <c r="M93" s="10"/>
      <c r="N93" s="10"/>
      <c r="O93" s="10"/>
      <c r="P93" s="9"/>
      <c r="Q93" s="9"/>
      <c r="R93" s="9"/>
      <c r="S93" s="9"/>
      <c r="T93" s="9"/>
      <c r="U93" s="9"/>
      <c r="V93" s="9"/>
      <c r="W93" s="9"/>
      <c r="X93" s="3"/>
      <c r="Y93" s="3"/>
      <c r="Z93" s="3"/>
      <c r="AA93" s="3"/>
      <c r="AB93" s="3"/>
      <c r="AC93" s="3"/>
      <c r="AD93" s="3"/>
      <c r="AE93" s="3"/>
      <c r="AF93" s="3"/>
    </row>
    <row r="94" spans="1:32" x14ac:dyDescent="0.25">
      <c r="A94" s="3"/>
      <c r="B94" s="9"/>
      <c r="C94" s="9"/>
      <c r="D94" s="9"/>
      <c r="E94" s="11"/>
      <c r="F94" s="11"/>
      <c r="G94" s="11"/>
      <c r="H94" s="11"/>
      <c r="I94" s="11"/>
      <c r="J94" s="9"/>
      <c r="K94" s="9"/>
      <c r="L94" s="10"/>
      <c r="M94" s="10"/>
      <c r="N94" s="10"/>
      <c r="O94" s="10"/>
      <c r="P94" s="9"/>
      <c r="Q94" s="9"/>
      <c r="R94" s="9"/>
      <c r="S94" s="9"/>
      <c r="T94" s="9"/>
      <c r="U94" s="9"/>
      <c r="V94" s="9"/>
      <c r="W94" s="9"/>
      <c r="X94" s="3"/>
      <c r="Y94" s="3"/>
      <c r="Z94" s="3"/>
      <c r="AA94" s="3"/>
      <c r="AB94" s="3"/>
      <c r="AC94" s="3"/>
      <c r="AD94" s="3"/>
      <c r="AE94" s="3"/>
      <c r="AF94" s="3"/>
    </row>
    <row r="95" spans="1:32" x14ac:dyDescent="0.25">
      <c r="A95" s="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3"/>
      <c r="Y95" s="3"/>
      <c r="Z95" s="3"/>
      <c r="AA95" s="3"/>
      <c r="AB95" s="3"/>
      <c r="AC95" s="3"/>
      <c r="AD95" s="3"/>
      <c r="AE95" s="3"/>
      <c r="AF95" s="3"/>
    </row>
    <row r="96" spans="1:32" x14ac:dyDescent="0.25">
      <c r="A96" s="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3"/>
      <c r="Y96" s="3"/>
      <c r="Z96" s="3"/>
      <c r="AA96" s="3"/>
      <c r="AB96" s="3"/>
      <c r="AC96" s="3"/>
      <c r="AD96" s="3"/>
      <c r="AE96" s="3"/>
      <c r="AF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0">
    <mergeCell ref="L10:Q10"/>
    <mergeCell ref="L11:O11"/>
    <mergeCell ref="L12:Q12"/>
    <mergeCell ref="L13:N13"/>
    <mergeCell ref="O13:O14"/>
    <mergeCell ref="P13:P14"/>
    <mergeCell ref="R12:W12"/>
    <mergeCell ref="R13:T13"/>
    <mergeCell ref="B26:B27"/>
    <mergeCell ref="Q13:Q14"/>
    <mergeCell ref="L25:Q25"/>
    <mergeCell ref="L26:N26"/>
    <mergeCell ref="O26:O27"/>
    <mergeCell ref="P26:P27"/>
    <mergeCell ref="Q26:Q27"/>
    <mergeCell ref="G13:G14"/>
    <mergeCell ref="J13:J14"/>
    <mergeCell ref="K13:K14"/>
    <mergeCell ref="D25:K25"/>
    <mergeCell ref="D26:F26"/>
    <mergeCell ref="G26:G27"/>
    <mergeCell ref="B10:B13"/>
    <mergeCell ref="E91:G91"/>
    <mergeCell ref="L91:O91"/>
    <mergeCell ref="D4:W4"/>
    <mergeCell ref="D8:W8"/>
    <mergeCell ref="C43:C44"/>
    <mergeCell ref="C46:C47"/>
    <mergeCell ref="C26:C27"/>
    <mergeCell ref="D12:K12"/>
    <mergeCell ref="D10:K10"/>
    <mergeCell ref="D11:G11"/>
    <mergeCell ref="C10:C13"/>
    <mergeCell ref="D13:F13"/>
    <mergeCell ref="J26:J27"/>
    <mergeCell ref="K26:K27"/>
    <mergeCell ref="R10:W10"/>
    <mergeCell ref="R11:U11"/>
    <mergeCell ref="U13:U14"/>
    <mergeCell ref="V13:V14"/>
    <mergeCell ref="W13:W14"/>
    <mergeCell ref="R25:W25"/>
    <mergeCell ref="R26:T26"/>
    <mergeCell ref="U26:U27"/>
    <mergeCell ref="V26:V27"/>
    <mergeCell ref="W26:W27"/>
    <mergeCell ref="AD25:AD27"/>
    <mergeCell ref="X26:Z26"/>
    <mergeCell ref="AC26:AC27"/>
    <mergeCell ref="AD10:AD14"/>
    <mergeCell ref="X11:AA11"/>
    <mergeCell ref="X12:AC12"/>
    <mergeCell ref="X13:Z13"/>
    <mergeCell ref="AC13:AC14"/>
    <mergeCell ref="AA26:AA27"/>
    <mergeCell ref="AB26:AB27"/>
    <mergeCell ref="X10:AC10"/>
    <mergeCell ref="X25:AC25"/>
    <mergeCell ref="AA13:AA14"/>
    <mergeCell ref="AB13:AB14"/>
  </mergeCells>
  <conditionalFormatting sqref="AD15:AD25">
    <cfRule type="cellIs" dxfId="3" priority="13" operator="equal">
      <formula>0</formula>
    </cfRule>
    <cfRule type="containsErrors" dxfId="2" priority="14">
      <formula>ISERROR(AD15)</formula>
    </cfRule>
  </conditionalFormatting>
  <conditionalFormatting sqref="AD28:AD41">
    <cfRule type="cellIs" dxfId="1" priority="1" operator="equal">
      <formula>0</formula>
    </cfRule>
    <cfRule type="containsErrors" dxfId="0" priority="2">
      <formula>ISERROR(AD28)</formula>
    </cfRule>
  </conditionalFormatting>
  <pageMargins left="0.25" right="0.25" top="0.75" bottom="0.75" header="0.3" footer="0.3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2024-10-14T12:53:10Z</cp:lastPrinted>
  <dcterms:created xsi:type="dcterms:W3CDTF">2017-02-23T12:10:09Z</dcterms:created>
  <dcterms:modified xsi:type="dcterms:W3CDTF">2024-10-17T10:03:20Z</dcterms:modified>
</cp:coreProperties>
</file>