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Rozpočet\Návrh rozpočtu r. 2020\PŘÍSPĚVKOVÉ ORGANIZACE\"/>
    </mc:Choice>
  </mc:AlternateContent>
  <bookViews>
    <workbookView xWindow="0" yWindow="0" windowWidth="28800" windowHeight="12135"/>
  </bookViews>
  <sheets>
    <sheet name="CHK" sheetId="1" r:id="rId1"/>
    <sheet name="MěLe" sheetId="2" r:id="rId2"/>
    <sheet name="SOS" sheetId="3" r:id="rId3"/>
    <sheet name="ZOO" sheetId="4" r:id="rId4"/>
    <sheet name="TSmCh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CHK!$A$1:$AC$95</definedName>
    <definedName name="_xlnm.Print_Area" localSheetId="1">MěLe!$A$1:$AC$99</definedName>
    <definedName name="_xlnm.Print_Area" localSheetId="2">SOS!$A$1:$AC$96</definedName>
    <definedName name="_xlnm.Print_Area" localSheetId="4">TSmCh!$A$1:$AC$70</definedName>
    <definedName name="_xlnm.Print_Area" localSheetId="3">ZOO!$A$1:$AC$96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5" l="1"/>
  <c r="E54" i="5"/>
  <c r="D54" i="5"/>
  <c r="G54" i="5" s="1"/>
  <c r="Y53" i="5"/>
  <c r="F52" i="5"/>
  <c r="F50" i="5" s="1"/>
  <c r="E52" i="5"/>
  <c r="E50" i="5" s="1"/>
  <c r="D52" i="5"/>
  <c r="V51" i="5"/>
  <c r="V50" i="5" s="1"/>
  <c r="G51" i="5"/>
  <c r="D50" i="5"/>
  <c r="Z38" i="5"/>
  <c r="X38" i="5"/>
  <c r="W38" i="5"/>
  <c r="V38" i="5"/>
  <c r="Y38" i="5" s="1"/>
  <c r="AA38" i="5" s="1"/>
  <c r="T38" i="5"/>
  <c r="R38" i="5"/>
  <c r="Q38" i="5"/>
  <c r="P38" i="5"/>
  <c r="S38" i="5" s="1"/>
  <c r="U38" i="5" s="1"/>
  <c r="N38" i="5"/>
  <c r="L38" i="5"/>
  <c r="K38" i="5"/>
  <c r="J38" i="5"/>
  <c r="H38" i="5"/>
  <c r="F38" i="5"/>
  <c r="E38" i="5"/>
  <c r="D38" i="5"/>
  <c r="G38" i="5" s="1"/>
  <c r="I38" i="5" s="1"/>
  <c r="Z37" i="5"/>
  <c r="X37" i="5"/>
  <c r="Y37" i="5" s="1"/>
  <c r="AA37" i="5" s="1"/>
  <c r="W52" i="5" s="1"/>
  <c r="W37" i="5"/>
  <c r="V37" i="5"/>
  <c r="T37" i="5"/>
  <c r="R37" i="5"/>
  <c r="Q37" i="5"/>
  <c r="P37" i="5"/>
  <c r="N37" i="5"/>
  <c r="L37" i="5"/>
  <c r="M37" i="5" s="1"/>
  <c r="O37" i="5" s="1"/>
  <c r="K37" i="5"/>
  <c r="J37" i="5"/>
  <c r="H37" i="5"/>
  <c r="F37" i="5"/>
  <c r="E37" i="5"/>
  <c r="D37" i="5"/>
  <c r="Z36" i="5"/>
  <c r="Y36" i="5"/>
  <c r="AA36" i="5" s="1"/>
  <c r="X36" i="5"/>
  <c r="W36" i="5"/>
  <c r="V36" i="5"/>
  <c r="T36" i="5"/>
  <c r="R36" i="5"/>
  <c r="Q36" i="5"/>
  <c r="P36" i="5"/>
  <c r="S36" i="5" s="1"/>
  <c r="N36" i="5"/>
  <c r="L36" i="5"/>
  <c r="K36" i="5"/>
  <c r="J36" i="5"/>
  <c r="M36" i="5" s="1"/>
  <c r="O36" i="5" s="1"/>
  <c r="H36" i="5"/>
  <c r="F36" i="5"/>
  <c r="E36" i="5"/>
  <c r="D36" i="5"/>
  <c r="G36" i="5" s="1"/>
  <c r="I36" i="5" s="1"/>
  <c r="Z35" i="5"/>
  <c r="X35" i="5"/>
  <c r="W35" i="5"/>
  <c r="V35" i="5"/>
  <c r="Y35" i="5" s="1"/>
  <c r="T35" i="5"/>
  <c r="R35" i="5"/>
  <c r="Q35" i="5"/>
  <c r="P35" i="5"/>
  <c r="N35" i="5"/>
  <c r="L35" i="5"/>
  <c r="K35" i="5"/>
  <c r="J35" i="5"/>
  <c r="M35" i="5" s="1"/>
  <c r="H35" i="5"/>
  <c r="F35" i="5"/>
  <c r="E35" i="5"/>
  <c r="D35" i="5"/>
  <c r="Z34" i="5"/>
  <c r="X34" i="5"/>
  <c r="W34" i="5"/>
  <c r="V34" i="5"/>
  <c r="Y34" i="5" s="1"/>
  <c r="AA34" i="5" s="1"/>
  <c r="T34" i="5"/>
  <c r="R34" i="5"/>
  <c r="Q34" i="5"/>
  <c r="S34" i="5" s="1"/>
  <c r="U34" i="5" s="1"/>
  <c r="P34" i="5"/>
  <c r="N34" i="5"/>
  <c r="L34" i="5"/>
  <c r="K34" i="5"/>
  <c r="J34" i="5"/>
  <c r="H34" i="5"/>
  <c r="F34" i="5"/>
  <c r="E34" i="5"/>
  <c r="D34" i="5"/>
  <c r="G34" i="5" s="1"/>
  <c r="I34" i="5" s="1"/>
  <c r="Z33" i="5"/>
  <c r="X33" i="5"/>
  <c r="W33" i="5"/>
  <c r="V33" i="5"/>
  <c r="T33" i="5"/>
  <c r="R33" i="5"/>
  <c r="Q33" i="5"/>
  <c r="P33" i="5"/>
  <c r="N33" i="5"/>
  <c r="L33" i="5"/>
  <c r="M33" i="5" s="1"/>
  <c r="K33" i="5"/>
  <c r="J33" i="5"/>
  <c r="H33" i="5"/>
  <c r="F33" i="5"/>
  <c r="E33" i="5"/>
  <c r="D33" i="5"/>
  <c r="Z32" i="5"/>
  <c r="X32" i="5"/>
  <c r="W32" i="5"/>
  <c r="V32" i="5"/>
  <c r="Y32" i="5" s="1"/>
  <c r="AA32" i="5" s="1"/>
  <c r="T32" i="5"/>
  <c r="R32" i="5"/>
  <c r="Q32" i="5"/>
  <c r="P32" i="5"/>
  <c r="N32" i="5"/>
  <c r="L32" i="5"/>
  <c r="K32" i="5"/>
  <c r="J32" i="5"/>
  <c r="M32" i="5" s="1"/>
  <c r="O32" i="5" s="1"/>
  <c r="H32" i="5"/>
  <c r="F32" i="5"/>
  <c r="E32" i="5"/>
  <c r="D32" i="5"/>
  <c r="Z31" i="5"/>
  <c r="X31" i="5"/>
  <c r="W31" i="5"/>
  <c r="V31" i="5"/>
  <c r="T31" i="5"/>
  <c r="R31" i="5"/>
  <c r="Q31" i="5"/>
  <c r="P31" i="5"/>
  <c r="N31" i="5"/>
  <c r="L31" i="5"/>
  <c r="K31" i="5"/>
  <c r="J31" i="5"/>
  <c r="H31" i="5"/>
  <c r="F31" i="5"/>
  <c r="E31" i="5"/>
  <c r="D31" i="5"/>
  <c r="Z30" i="5"/>
  <c r="X30" i="5"/>
  <c r="W30" i="5"/>
  <c r="V30" i="5"/>
  <c r="T30" i="5"/>
  <c r="R30" i="5"/>
  <c r="Q30" i="5"/>
  <c r="P30" i="5"/>
  <c r="S30" i="5" s="1"/>
  <c r="U30" i="5" s="1"/>
  <c r="N30" i="5"/>
  <c r="L30" i="5"/>
  <c r="K30" i="5"/>
  <c r="J30" i="5"/>
  <c r="H30" i="5"/>
  <c r="F30" i="5"/>
  <c r="E30" i="5"/>
  <c r="D30" i="5"/>
  <c r="Z29" i="5"/>
  <c r="Y29" i="5"/>
  <c r="AA29" i="5" s="1"/>
  <c r="X29" i="5"/>
  <c r="W29" i="5"/>
  <c r="V29" i="5"/>
  <c r="T29" i="5"/>
  <c r="R29" i="5"/>
  <c r="Q29" i="5"/>
  <c r="P29" i="5"/>
  <c r="N29" i="5"/>
  <c r="L29" i="5"/>
  <c r="K29" i="5"/>
  <c r="J29" i="5"/>
  <c r="H29" i="5"/>
  <c r="F29" i="5"/>
  <c r="E29" i="5"/>
  <c r="D29" i="5"/>
  <c r="Z28" i="5"/>
  <c r="X28" i="5"/>
  <c r="W28" i="5"/>
  <c r="V28" i="5"/>
  <c r="Y28" i="5" s="1"/>
  <c r="AA28" i="5" s="1"/>
  <c r="T28" i="5"/>
  <c r="R28" i="5"/>
  <c r="Q28" i="5"/>
  <c r="P28" i="5"/>
  <c r="S28" i="5" s="1"/>
  <c r="U28" i="5" s="1"/>
  <c r="N28" i="5"/>
  <c r="L28" i="5"/>
  <c r="K28" i="5"/>
  <c r="J28" i="5"/>
  <c r="M28" i="5" s="1"/>
  <c r="O28" i="5" s="1"/>
  <c r="H28" i="5"/>
  <c r="F28" i="5"/>
  <c r="E28" i="5"/>
  <c r="D28" i="5"/>
  <c r="Z23" i="5"/>
  <c r="X23" i="5"/>
  <c r="W23" i="5"/>
  <c r="V23" i="5"/>
  <c r="T23" i="5"/>
  <c r="S23" i="5"/>
  <c r="U23" i="5" s="1"/>
  <c r="R23" i="5"/>
  <c r="Q23" i="5"/>
  <c r="P23" i="5"/>
  <c r="N23" i="5"/>
  <c r="L23" i="5"/>
  <c r="K23" i="5"/>
  <c r="J23" i="5"/>
  <c r="H23" i="5"/>
  <c r="F23" i="5"/>
  <c r="E23" i="5"/>
  <c r="D23" i="5"/>
  <c r="G23" i="5" s="1"/>
  <c r="I23" i="5" s="1"/>
  <c r="Z22" i="5"/>
  <c r="X22" i="5"/>
  <c r="W22" i="5"/>
  <c r="V22" i="5"/>
  <c r="T22" i="5"/>
  <c r="R22" i="5"/>
  <c r="Q22" i="5"/>
  <c r="P22" i="5"/>
  <c r="S22" i="5" s="1"/>
  <c r="U22" i="5" s="1"/>
  <c r="N22" i="5"/>
  <c r="L22" i="5"/>
  <c r="K22" i="5"/>
  <c r="M22" i="5" s="1"/>
  <c r="O22" i="5" s="1"/>
  <c r="J22" i="5"/>
  <c r="H22" i="5"/>
  <c r="F22" i="5"/>
  <c r="E22" i="5"/>
  <c r="D22" i="5"/>
  <c r="Z21" i="5"/>
  <c r="X21" i="5"/>
  <c r="W21" i="5"/>
  <c r="V21" i="5"/>
  <c r="T21" i="5"/>
  <c r="R21" i="5"/>
  <c r="Q21" i="5"/>
  <c r="P21" i="5"/>
  <c r="N21" i="5"/>
  <c r="L21" i="5"/>
  <c r="K21" i="5"/>
  <c r="J21" i="5"/>
  <c r="M21" i="5" s="1"/>
  <c r="O21" i="5" s="1"/>
  <c r="H21" i="5"/>
  <c r="F21" i="5"/>
  <c r="E21" i="5"/>
  <c r="D21" i="5"/>
  <c r="Z20" i="5"/>
  <c r="X20" i="5"/>
  <c r="W20" i="5"/>
  <c r="V20" i="5"/>
  <c r="T20" i="5"/>
  <c r="R20" i="5"/>
  <c r="Q20" i="5"/>
  <c r="P20" i="5"/>
  <c r="N20" i="5"/>
  <c r="L20" i="5"/>
  <c r="K20" i="5"/>
  <c r="J20" i="5"/>
  <c r="H20" i="5"/>
  <c r="I20" i="5" s="1"/>
  <c r="F20" i="5"/>
  <c r="E20" i="5"/>
  <c r="D20" i="5"/>
  <c r="Z19" i="5"/>
  <c r="X19" i="5"/>
  <c r="W19" i="5"/>
  <c r="V19" i="5"/>
  <c r="T19" i="5"/>
  <c r="R19" i="5"/>
  <c r="S19" i="5" s="1"/>
  <c r="U19" i="5" s="1"/>
  <c r="Q19" i="5"/>
  <c r="P19" i="5"/>
  <c r="N19" i="5"/>
  <c r="L19" i="5"/>
  <c r="K19" i="5"/>
  <c r="J19" i="5"/>
  <c r="H19" i="5"/>
  <c r="G19" i="5"/>
  <c r="I19" i="5" s="1"/>
  <c r="F19" i="5"/>
  <c r="E19" i="5"/>
  <c r="D19" i="5"/>
  <c r="Z18" i="5"/>
  <c r="X18" i="5"/>
  <c r="W18" i="5"/>
  <c r="V18" i="5"/>
  <c r="T18" i="5"/>
  <c r="R18" i="5"/>
  <c r="Q18" i="5"/>
  <c r="P18" i="5"/>
  <c r="S18" i="5" s="1"/>
  <c r="U18" i="5" s="1"/>
  <c r="N18" i="5"/>
  <c r="L18" i="5"/>
  <c r="K18" i="5"/>
  <c r="J18" i="5"/>
  <c r="M18" i="5" s="1"/>
  <c r="O18" i="5" s="1"/>
  <c r="H18" i="5"/>
  <c r="F18" i="5"/>
  <c r="E18" i="5"/>
  <c r="D18" i="5"/>
  <c r="G18" i="5" s="1"/>
  <c r="I18" i="5" s="1"/>
  <c r="Z17" i="5"/>
  <c r="X17" i="5"/>
  <c r="W17" i="5"/>
  <c r="V17" i="5"/>
  <c r="T17" i="5"/>
  <c r="R17" i="5"/>
  <c r="Q17" i="5"/>
  <c r="P17" i="5"/>
  <c r="S17" i="5" s="1"/>
  <c r="U17" i="5" s="1"/>
  <c r="N17" i="5"/>
  <c r="L17" i="5"/>
  <c r="K17" i="5"/>
  <c r="M17" i="5" s="1"/>
  <c r="O17" i="5" s="1"/>
  <c r="J17" i="5"/>
  <c r="H17" i="5"/>
  <c r="F17" i="5"/>
  <c r="E17" i="5"/>
  <c r="D17" i="5"/>
  <c r="Z16" i="5"/>
  <c r="X16" i="5"/>
  <c r="W16" i="5"/>
  <c r="V16" i="5"/>
  <c r="Y16" i="5" s="1"/>
  <c r="AA16" i="5" s="1"/>
  <c r="T16" i="5"/>
  <c r="R16" i="5"/>
  <c r="Q16" i="5"/>
  <c r="P16" i="5"/>
  <c r="N16" i="5"/>
  <c r="L16" i="5"/>
  <c r="K16" i="5"/>
  <c r="J16" i="5"/>
  <c r="H16" i="5"/>
  <c r="F16" i="5"/>
  <c r="E16" i="5"/>
  <c r="D16" i="5"/>
  <c r="Z15" i="5"/>
  <c r="Z24" i="5" s="1"/>
  <c r="X15" i="5"/>
  <c r="X24" i="5" s="1"/>
  <c r="W15" i="5"/>
  <c r="V15" i="5"/>
  <c r="T15" i="5"/>
  <c r="S15" i="5"/>
  <c r="U15" i="5" s="1"/>
  <c r="R15" i="5"/>
  <c r="Q15" i="5"/>
  <c r="P15" i="5"/>
  <c r="N15" i="5"/>
  <c r="N24" i="5" s="1"/>
  <c r="L15" i="5"/>
  <c r="K15" i="5"/>
  <c r="J15" i="5"/>
  <c r="H15" i="5"/>
  <c r="F15" i="5"/>
  <c r="E15" i="5"/>
  <c r="D15" i="5"/>
  <c r="AB28" i="5" l="1"/>
  <c r="R24" i="5"/>
  <c r="AB36" i="5"/>
  <c r="M15" i="5"/>
  <c r="O15" i="5" s="1"/>
  <c r="P24" i="5"/>
  <c r="G29" i="5"/>
  <c r="I29" i="5" s="1"/>
  <c r="S29" i="5"/>
  <c r="U29" i="5" s="1"/>
  <c r="G31" i="5"/>
  <c r="I31" i="5" s="1"/>
  <c r="S31" i="5"/>
  <c r="U31" i="5" s="1"/>
  <c r="S32" i="5"/>
  <c r="U32" i="5" s="1"/>
  <c r="G33" i="5"/>
  <c r="S33" i="5"/>
  <c r="U36" i="5"/>
  <c r="K24" i="5"/>
  <c r="M16" i="5"/>
  <c r="O16" i="5" s="1"/>
  <c r="S16" i="5"/>
  <c r="U16" i="5" s="1"/>
  <c r="Y17" i="5"/>
  <c r="AA17" i="5" s="1"/>
  <c r="AB17" i="5" s="1"/>
  <c r="M19" i="5"/>
  <c r="O19" i="5" s="1"/>
  <c r="AB19" i="5" s="1"/>
  <c r="Y19" i="5"/>
  <c r="AA19" i="5" s="1"/>
  <c r="M20" i="5"/>
  <c r="O20" i="5" s="1"/>
  <c r="G21" i="5"/>
  <c r="I21" i="5" s="1"/>
  <c r="Y22" i="5"/>
  <c r="AA22" i="5" s="1"/>
  <c r="AB22" i="5" s="1"/>
  <c r="Y23" i="5"/>
  <c r="AA23" i="5" s="1"/>
  <c r="H39" i="5"/>
  <c r="G30" i="5"/>
  <c r="I30" i="5" s="1"/>
  <c r="M30" i="5"/>
  <c r="O30" i="5" s="1"/>
  <c r="N39" i="5"/>
  <c r="N40" i="5" s="1"/>
  <c r="Z39" i="5"/>
  <c r="G35" i="5"/>
  <c r="I35" i="5" s="1"/>
  <c r="I39" i="5" s="1"/>
  <c r="L39" i="5"/>
  <c r="L40" i="5" s="1"/>
  <c r="S35" i="5"/>
  <c r="U35" i="5" s="1"/>
  <c r="G37" i="5"/>
  <c r="S37" i="5"/>
  <c r="U37" i="5" s="1"/>
  <c r="U39" i="5" s="1"/>
  <c r="G50" i="5"/>
  <c r="AB29" i="5"/>
  <c r="J39" i="5"/>
  <c r="E24" i="5"/>
  <c r="Q24" i="5"/>
  <c r="S24" i="5" s="1"/>
  <c r="F24" i="5"/>
  <c r="L24" i="5"/>
  <c r="W24" i="5"/>
  <c r="Y21" i="5"/>
  <c r="AA21" i="5" s="1"/>
  <c r="AB21" i="5" s="1"/>
  <c r="G22" i="5"/>
  <c r="I22" i="5" s="1"/>
  <c r="M29" i="5"/>
  <c r="O29" i="5" s="1"/>
  <c r="M31" i="5"/>
  <c r="Y31" i="5"/>
  <c r="G32" i="5"/>
  <c r="I32" i="5" s="1"/>
  <c r="O33" i="5"/>
  <c r="Y33" i="5"/>
  <c r="AA33" i="5" s="1"/>
  <c r="M38" i="5"/>
  <c r="O38" i="5" s="1"/>
  <c r="AB38" i="5" s="1"/>
  <c r="J24" i="5"/>
  <c r="Z40" i="5"/>
  <c r="X39" i="5"/>
  <c r="X40" i="5" s="1"/>
  <c r="Y52" i="5"/>
  <c r="T24" i="5"/>
  <c r="S20" i="5"/>
  <c r="U20" i="5" s="1"/>
  <c r="U24" i="5" s="1"/>
  <c r="O31" i="5"/>
  <c r="I33" i="5"/>
  <c r="G15" i="5"/>
  <c r="I15" i="5" s="1"/>
  <c r="Y15" i="5"/>
  <c r="AA15" i="5" s="1"/>
  <c r="S21" i="5"/>
  <c r="U21" i="5" s="1"/>
  <c r="V24" i="5"/>
  <c r="G28" i="5"/>
  <c r="I28" i="5" s="1"/>
  <c r="Y30" i="5"/>
  <c r="AA30" i="5" s="1"/>
  <c r="AB30" i="5" s="1"/>
  <c r="D39" i="5"/>
  <c r="O35" i="5"/>
  <c r="P39" i="5"/>
  <c r="AA35" i="5"/>
  <c r="I37" i="5"/>
  <c r="AB37" i="5"/>
  <c r="R39" i="5"/>
  <c r="R40" i="5" s="1"/>
  <c r="X52" i="5"/>
  <c r="X50" i="5" s="1"/>
  <c r="AB16" i="5"/>
  <c r="AA31" i="5"/>
  <c r="U33" i="5"/>
  <c r="D24" i="5"/>
  <c r="H24" i="5"/>
  <c r="H40" i="5" s="1"/>
  <c r="G16" i="5"/>
  <c r="I16" i="5" s="1"/>
  <c r="G17" i="5"/>
  <c r="I17" i="5" s="1"/>
  <c r="Y18" i="5"/>
  <c r="AA18" i="5" s="1"/>
  <c r="AB18" i="5" s="1"/>
  <c r="Y20" i="5"/>
  <c r="AA20" i="5" s="1"/>
  <c r="AB20" i="5" s="1"/>
  <c r="M23" i="5"/>
  <c r="O23" i="5" s="1"/>
  <c r="AB23" i="5" s="1"/>
  <c r="T39" i="5"/>
  <c r="AB32" i="5"/>
  <c r="M34" i="5"/>
  <c r="O34" i="5" s="1"/>
  <c r="AB34" i="5" s="1"/>
  <c r="E39" i="5"/>
  <c r="E40" i="5" s="1"/>
  <c r="K39" i="5"/>
  <c r="Q39" i="5"/>
  <c r="W39" i="5"/>
  <c r="W40" i="5" s="1"/>
  <c r="F39" i="5"/>
  <c r="F40" i="5" s="1"/>
  <c r="V39" i="5"/>
  <c r="G52" i="5"/>
  <c r="O24" i="5" l="1"/>
  <c r="W54" i="5"/>
  <c r="AB33" i="5"/>
  <c r="Q40" i="5"/>
  <c r="O39" i="5"/>
  <c r="K40" i="5"/>
  <c r="Y39" i="5"/>
  <c r="M39" i="5"/>
  <c r="AB35" i="5"/>
  <c r="AA39" i="5"/>
  <c r="AB39" i="5" s="1"/>
  <c r="AB15" i="5"/>
  <c r="AA24" i="5"/>
  <c r="M24" i="5"/>
  <c r="J40" i="5"/>
  <c r="AB31" i="5"/>
  <c r="S39" i="5"/>
  <c r="S40" i="5" s="1"/>
  <c r="O40" i="5"/>
  <c r="O41" i="5" s="1"/>
  <c r="U40" i="5"/>
  <c r="U41" i="5" s="1"/>
  <c r="Y24" i="5"/>
  <c r="Y40" i="5" s="1"/>
  <c r="V40" i="5"/>
  <c r="I24" i="5"/>
  <c r="I40" i="5" s="1"/>
  <c r="I41" i="5" s="1"/>
  <c r="T40" i="5"/>
  <c r="D40" i="5"/>
  <c r="G24" i="5"/>
  <c r="G40" i="5" s="1"/>
  <c r="P40" i="5"/>
  <c r="G39" i="5"/>
  <c r="Y54" i="5" l="1"/>
  <c r="W50" i="5"/>
  <c r="Y50" i="5" s="1"/>
  <c r="M40" i="5"/>
  <c r="AA40" i="5"/>
  <c r="AB24" i="5"/>
  <c r="AA41" i="5" l="1"/>
  <c r="AB41" i="5" s="1"/>
  <c r="AB40" i="5"/>
  <c r="Y54" i="4" l="1"/>
  <c r="S54" i="4"/>
  <c r="M54" i="4"/>
  <c r="G54" i="4"/>
  <c r="F54" i="4"/>
  <c r="V53" i="4"/>
  <c r="Y53" i="4" s="1"/>
  <c r="S53" i="4"/>
  <c r="M53" i="4"/>
  <c r="G53" i="4"/>
  <c r="W52" i="4"/>
  <c r="W50" i="4" s="1"/>
  <c r="Q52" i="4"/>
  <c r="S52" i="4" s="1"/>
  <c r="K52" i="4"/>
  <c r="G52" i="4"/>
  <c r="Y51" i="4"/>
  <c r="S51" i="4"/>
  <c r="M51" i="4"/>
  <c r="D51" i="4"/>
  <c r="G51" i="4" s="1"/>
  <c r="X50" i="4"/>
  <c r="V50" i="4"/>
  <c r="Y50" i="4" s="1"/>
  <c r="R50" i="4"/>
  <c r="P50" i="4"/>
  <c r="J50" i="4"/>
  <c r="F50" i="4"/>
  <c r="E50" i="4"/>
  <c r="T39" i="4"/>
  <c r="R39" i="4"/>
  <c r="Q39" i="4"/>
  <c r="P39" i="4"/>
  <c r="N39" i="4"/>
  <c r="L39" i="4"/>
  <c r="K39" i="4"/>
  <c r="J39" i="4"/>
  <c r="M39" i="4" s="1"/>
  <c r="W38" i="4"/>
  <c r="V38" i="4"/>
  <c r="S38" i="4"/>
  <c r="U38" i="4" s="1"/>
  <c r="M38" i="4"/>
  <c r="O38" i="4" s="1"/>
  <c r="H38" i="4"/>
  <c r="D38" i="4"/>
  <c r="F38" i="4" s="1"/>
  <c r="G38" i="4" s="1"/>
  <c r="I38" i="4" s="1"/>
  <c r="AA37" i="4"/>
  <c r="Y37" i="4"/>
  <c r="S37" i="4"/>
  <c r="U37" i="4" s="1"/>
  <c r="M37" i="4"/>
  <c r="O37" i="4" s="1"/>
  <c r="F37" i="4"/>
  <c r="G37" i="4" s="1"/>
  <c r="I37" i="4" s="1"/>
  <c r="X36" i="4"/>
  <c r="Y36" i="4" s="1"/>
  <c r="AA36" i="4" s="1"/>
  <c r="S36" i="4"/>
  <c r="U36" i="4" s="1"/>
  <c r="M36" i="4"/>
  <c r="O36" i="4" s="1"/>
  <c r="F36" i="4"/>
  <c r="G36" i="4" s="1"/>
  <c r="I36" i="4" s="1"/>
  <c r="W35" i="4"/>
  <c r="V35" i="4"/>
  <c r="S35" i="4"/>
  <c r="U35" i="4" s="1"/>
  <c r="M35" i="4"/>
  <c r="O35" i="4" s="1"/>
  <c r="H35" i="4"/>
  <c r="F35" i="4" s="1"/>
  <c r="G35" i="4" s="1"/>
  <c r="I35" i="4" s="1"/>
  <c r="X34" i="4"/>
  <c r="Y34" i="4" s="1"/>
  <c r="AA34" i="4" s="1"/>
  <c r="V34" i="4"/>
  <c r="S34" i="4"/>
  <c r="U34" i="4" s="1"/>
  <c r="M34" i="4"/>
  <c r="O34" i="4" s="1"/>
  <c r="H34" i="4"/>
  <c r="H32" i="4" s="1"/>
  <c r="F34" i="4"/>
  <c r="G34" i="4" s="1"/>
  <c r="I34" i="4" s="1"/>
  <c r="V33" i="4"/>
  <c r="X33" i="4" s="1"/>
  <c r="S33" i="4"/>
  <c r="U33" i="4" s="1"/>
  <c r="M33" i="4"/>
  <c r="O33" i="4" s="1"/>
  <c r="F33" i="4"/>
  <c r="G33" i="4" s="1"/>
  <c r="Z32" i="4"/>
  <c r="Z39" i="4" s="1"/>
  <c r="W32" i="4"/>
  <c r="S32" i="4"/>
  <c r="U32" i="4" s="1"/>
  <c r="M32" i="4"/>
  <c r="O32" i="4" s="1"/>
  <c r="E32" i="4"/>
  <c r="D32" i="4"/>
  <c r="D39" i="4" s="1"/>
  <c r="X31" i="4"/>
  <c r="Y31" i="4" s="1"/>
  <c r="AA31" i="4" s="1"/>
  <c r="S31" i="4"/>
  <c r="U31" i="4" s="1"/>
  <c r="M31" i="4"/>
  <c r="O31" i="4" s="1"/>
  <c r="H31" i="4"/>
  <c r="F31" i="4" s="1"/>
  <c r="G31" i="4" s="1"/>
  <c r="I31" i="4" s="1"/>
  <c r="X30" i="4"/>
  <c r="Y30" i="4" s="1"/>
  <c r="AA30" i="4" s="1"/>
  <c r="S30" i="4"/>
  <c r="U30" i="4" s="1"/>
  <c r="M30" i="4"/>
  <c r="O30" i="4" s="1"/>
  <c r="F30" i="4"/>
  <c r="G30" i="4" s="1"/>
  <c r="I30" i="4" s="1"/>
  <c r="V29" i="4"/>
  <c r="X29" i="4" s="1"/>
  <c r="S29" i="4"/>
  <c r="U29" i="4" s="1"/>
  <c r="M29" i="4"/>
  <c r="O29" i="4" s="1"/>
  <c r="H29" i="4"/>
  <c r="E29" i="4"/>
  <c r="V28" i="4"/>
  <c r="S28" i="4"/>
  <c r="U28" i="4" s="1"/>
  <c r="M28" i="4"/>
  <c r="O28" i="4" s="1"/>
  <c r="H28" i="4"/>
  <c r="Z24" i="4"/>
  <c r="X24" i="4"/>
  <c r="W24" i="4"/>
  <c r="T24" i="4"/>
  <c r="T40" i="4" s="1"/>
  <c r="R24" i="4"/>
  <c r="R40" i="4" s="1"/>
  <c r="Q24" i="4"/>
  <c r="Q40" i="4" s="1"/>
  <c r="P24" i="4"/>
  <c r="N24" i="4"/>
  <c r="N40" i="4" s="1"/>
  <c r="M24" i="4"/>
  <c r="M40" i="4" s="1"/>
  <c r="L24" i="4"/>
  <c r="L40" i="4" s="1"/>
  <c r="K24" i="4"/>
  <c r="K40" i="4" s="1"/>
  <c r="J24" i="4"/>
  <c r="D24" i="4"/>
  <c r="D40" i="4" s="1"/>
  <c r="Y23" i="4"/>
  <c r="AA23" i="4" s="1"/>
  <c r="AB23" i="4" s="1"/>
  <c r="S23" i="4"/>
  <c r="U23" i="4" s="1"/>
  <c r="M23" i="4"/>
  <c r="O23" i="4" s="1"/>
  <c r="G23" i="4"/>
  <c r="I23" i="4" s="1"/>
  <c r="AA22" i="4"/>
  <c r="Y22" i="4"/>
  <c r="S22" i="4"/>
  <c r="U22" i="4" s="1"/>
  <c r="O22" i="4"/>
  <c r="AB22" i="4" s="1"/>
  <c r="M22" i="4"/>
  <c r="G22" i="4"/>
  <c r="I22" i="4" s="1"/>
  <c r="Y21" i="4"/>
  <c r="AA21" i="4" s="1"/>
  <c r="AB21" i="4" s="1"/>
  <c r="S21" i="4"/>
  <c r="U21" i="4" s="1"/>
  <c r="M21" i="4"/>
  <c r="O21" i="4" s="1"/>
  <c r="F21" i="4"/>
  <c r="G21" i="4" s="1"/>
  <c r="I21" i="4" s="1"/>
  <c r="Y20" i="4"/>
  <c r="AA20" i="4" s="1"/>
  <c r="AB20" i="4" s="1"/>
  <c r="S20" i="4"/>
  <c r="U20" i="4" s="1"/>
  <c r="M20" i="4"/>
  <c r="O20" i="4" s="1"/>
  <c r="F20" i="4"/>
  <c r="G20" i="4" s="1"/>
  <c r="I20" i="4" s="1"/>
  <c r="Y19" i="4"/>
  <c r="AA19" i="4" s="1"/>
  <c r="AB19" i="4" s="1"/>
  <c r="S19" i="4"/>
  <c r="U19" i="4" s="1"/>
  <c r="M19" i="4"/>
  <c r="O19" i="4" s="1"/>
  <c r="G19" i="4"/>
  <c r="I19" i="4" s="1"/>
  <c r="AA18" i="4"/>
  <c r="Y18" i="4"/>
  <c r="S18" i="4"/>
  <c r="U18" i="4" s="1"/>
  <c r="O18" i="4"/>
  <c r="M18" i="4"/>
  <c r="E18" i="4"/>
  <c r="G18" i="4" s="1"/>
  <c r="I18" i="4" s="1"/>
  <c r="AA17" i="4"/>
  <c r="Y17" i="4"/>
  <c r="S17" i="4"/>
  <c r="U17" i="4" s="1"/>
  <c r="O17" i="4"/>
  <c r="AB17" i="4" s="1"/>
  <c r="M17" i="4"/>
  <c r="G17" i="4"/>
  <c r="I17" i="4" s="1"/>
  <c r="V16" i="4"/>
  <c r="V24" i="4" s="1"/>
  <c r="U16" i="4"/>
  <c r="S16" i="4"/>
  <c r="M16" i="4"/>
  <c r="O16" i="4" s="1"/>
  <c r="G16" i="4"/>
  <c r="I16" i="4" s="1"/>
  <c r="Y15" i="4"/>
  <c r="AA15" i="4" s="1"/>
  <c r="S15" i="4"/>
  <c r="U15" i="4" s="1"/>
  <c r="M15" i="4"/>
  <c r="O15" i="4" s="1"/>
  <c r="H15" i="4"/>
  <c r="H24" i="4" s="1"/>
  <c r="I33" i="4" l="1"/>
  <c r="G32" i="4"/>
  <c r="I32" i="4" s="1"/>
  <c r="AB34" i="4"/>
  <c r="J40" i="4"/>
  <c r="H39" i="4"/>
  <c r="H40" i="4" s="1"/>
  <c r="F32" i="4"/>
  <c r="V32" i="4"/>
  <c r="P40" i="4"/>
  <c r="AB30" i="4"/>
  <c r="AB31" i="4"/>
  <c r="W39" i="4"/>
  <c r="W40" i="4" s="1"/>
  <c r="S39" i="4"/>
  <c r="Q50" i="4"/>
  <c r="S50" i="4" s="1"/>
  <c r="L52" i="4"/>
  <c r="L50" i="4" s="1"/>
  <c r="Y52" i="4"/>
  <c r="AB36" i="4"/>
  <c r="K50" i="4"/>
  <c r="M50" i="4" s="1"/>
  <c r="AA24" i="4"/>
  <c r="AB15" i="4"/>
  <c r="O39" i="4"/>
  <c r="U24" i="4"/>
  <c r="Z40" i="4"/>
  <c r="O24" i="4"/>
  <c r="Y24" i="4"/>
  <c r="AB18" i="4"/>
  <c r="Y32" i="4"/>
  <c r="AA32" i="4" s="1"/>
  <c r="AB32" i="4" s="1"/>
  <c r="X35" i="4"/>
  <c r="Y35" i="4" s="1"/>
  <c r="AA35" i="4" s="1"/>
  <c r="X38" i="4"/>
  <c r="Y38" i="4" s="1"/>
  <c r="AA38" i="4" s="1"/>
  <c r="AB38" i="4" s="1"/>
  <c r="V39" i="4"/>
  <c r="E39" i="4"/>
  <c r="G29" i="4"/>
  <c r="I29" i="4" s="1"/>
  <c r="Y29" i="4"/>
  <c r="AA29" i="4" s="1"/>
  <c r="AB29" i="4" s="1"/>
  <c r="F15" i="4"/>
  <c r="Y16" i="4"/>
  <c r="AA16" i="4" s="1"/>
  <c r="AB16" i="4" s="1"/>
  <c r="S24" i="4"/>
  <c r="S40" i="4" s="1"/>
  <c r="X28" i="4"/>
  <c r="Y28" i="4" s="1"/>
  <c r="AA28" i="4" s="1"/>
  <c r="AB28" i="4" s="1"/>
  <c r="F29" i="4"/>
  <c r="X32" i="4"/>
  <c r="AB37" i="4"/>
  <c r="E24" i="4"/>
  <c r="F28" i="4"/>
  <c r="Y33" i="4"/>
  <c r="AA33" i="4" s="1"/>
  <c r="AB33" i="4" s="1"/>
  <c r="U39" i="4"/>
  <c r="D50" i="4"/>
  <c r="G50" i="4" s="1"/>
  <c r="O40" i="4" l="1"/>
  <c r="O41" i="4" s="1"/>
  <c r="M52" i="4"/>
  <c r="G39" i="4"/>
  <c r="E40" i="4"/>
  <c r="G15" i="4"/>
  <c r="I15" i="4" s="1"/>
  <c r="I24" i="4" s="1"/>
  <c r="F24" i="4"/>
  <c r="AA39" i="4"/>
  <c r="AB39" i="4" s="1"/>
  <c r="AB35" i="4"/>
  <c r="V40" i="4"/>
  <c r="U40" i="4"/>
  <c r="U41" i="4" s="1"/>
  <c r="AB24" i="4"/>
  <c r="AA40" i="4"/>
  <c r="F39" i="4"/>
  <c r="G28" i="4"/>
  <c r="I28" i="4" s="1"/>
  <c r="I39" i="4" s="1"/>
  <c r="X39" i="4"/>
  <c r="X40" i="4" s="1"/>
  <c r="F40" i="4" l="1"/>
  <c r="I40" i="4"/>
  <c r="I41" i="4" s="1"/>
  <c r="AA41" i="4"/>
  <c r="AB41" i="4" s="1"/>
  <c r="AB40" i="4"/>
  <c r="Y39" i="4"/>
  <c r="Y40" i="4" s="1"/>
  <c r="G24" i="4"/>
  <c r="G40" i="4" s="1"/>
  <c r="Y54" i="3" l="1"/>
  <c r="S54" i="3"/>
  <c r="M54" i="3"/>
  <c r="G54" i="3"/>
  <c r="Y53" i="3"/>
  <c r="S53" i="3"/>
  <c r="M53" i="3"/>
  <c r="G53" i="3"/>
  <c r="Y52" i="3"/>
  <c r="S52" i="3"/>
  <c r="M52" i="3"/>
  <c r="G52" i="3"/>
  <c r="Y51" i="3"/>
  <c r="S51" i="3"/>
  <c r="M51" i="3"/>
  <c r="G51" i="3"/>
  <c r="Y50" i="3"/>
  <c r="S50" i="3"/>
  <c r="M50" i="3"/>
  <c r="G50" i="3"/>
  <c r="Z39" i="3"/>
  <c r="X39" i="3"/>
  <c r="W39" i="3"/>
  <c r="V39" i="3"/>
  <c r="T39" i="3"/>
  <c r="S39" i="3"/>
  <c r="R39" i="3"/>
  <c r="Q39" i="3"/>
  <c r="P39" i="3"/>
  <c r="N39" i="3"/>
  <c r="N40" i="3" s="1"/>
  <c r="L39" i="3"/>
  <c r="K39" i="3"/>
  <c r="J39" i="3"/>
  <c r="M39" i="3" s="1"/>
  <c r="H39" i="3"/>
  <c r="F39" i="3"/>
  <c r="E39" i="3"/>
  <c r="D39" i="3"/>
  <c r="G39" i="3" s="1"/>
  <c r="Y38" i="3"/>
  <c r="AA38" i="3" s="1"/>
  <c r="S38" i="3"/>
  <c r="U38" i="3" s="1"/>
  <c r="M38" i="3"/>
  <c r="O38" i="3" s="1"/>
  <c r="G38" i="3"/>
  <c r="I38" i="3" s="1"/>
  <c r="Y37" i="3"/>
  <c r="AA37" i="3" s="1"/>
  <c r="S37" i="3"/>
  <c r="U37" i="3" s="1"/>
  <c r="M37" i="3"/>
  <c r="O37" i="3" s="1"/>
  <c r="G37" i="3"/>
  <c r="I37" i="3" s="1"/>
  <c r="Y36" i="3"/>
  <c r="AA36" i="3" s="1"/>
  <c r="AB36" i="3" s="1"/>
  <c r="U36" i="3"/>
  <c r="S36" i="3"/>
  <c r="M36" i="3"/>
  <c r="O36" i="3" s="1"/>
  <c r="G36" i="3"/>
  <c r="I36" i="3" s="1"/>
  <c r="Y35" i="3"/>
  <c r="AA35" i="3" s="1"/>
  <c r="AB35" i="3" s="1"/>
  <c r="S35" i="3"/>
  <c r="U35" i="3" s="1"/>
  <c r="M35" i="3"/>
  <c r="O35" i="3" s="1"/>
  <c r="G35" i="3"/>
  <c r="I35" i="3" s="1"/>
  <c r="Y34" i="3"/>
  <c r="AA34" i="3" s="1"/>
  <c r="AB34" i="3" s="1"/>
  <c r="S34" i="3"/>
  <c r="U34" i="3" s="1"/>
  <c r="M34" i="3"/>
  <c r="O34" i="3" s="1"/>
  <c r="G34" i="3"/>
  <c r="I34" i="3" s="1"/>
  <c r="Y33" i="3"/>
  <c r="AA33" i="3" s="1"/>
  <c r="AB33" i="3" s="1"/>
  <c r="S33" i="3"/>
  <c r="U33" i="3" s="1"/>
  <c r="M33" i="3"/>
  <c r="O33" i="3" s="1"/>
  <c r="G33" i="3"/>
  <c r="I33" i="3" s="1"/>
  <c r="Y32" i="3"/>
  <c r="AA32" i="3" s="1"/>
  <c r="S32" i="3"/>
  <c r="U32" i="3" s="1"/>
  <c r="M32" i="3"/>
  <c r="O32" i="3" s="1"/>
  <c r="G32" i="3"/>
  <c r="I32" i="3" s="1"/>
  <c r="Y31" i="3"/>
  <c r="AA31" i="3" s="1"/>
  <c r="AB31" i="3" s="1"/>
  <c r="S31" i="3"/>
  <c r="U31" i="3" s="1"/>
  <c r="M31" i="3"/>
  <c r="O31" i="3" s="1"/>
  <c r="G31" i="3"/>
  <c r="I31" i="3" s="1"/>
  <c r="AA30" i="3"/>
  <c r="AB30" i="3" s="1"/>
  <c r="Y30" i="3"/>
  <c r="S30" i="3"/>
  <c r="U30" i="3" s="1"/>
  <c r="M30" i="3"/>
  <c r="O30" i="3" s="1"/>
  <c r="G30" i="3"/>
  <c r="I30" i="3" s="1"/>
  <c r="Y29" i="3"/>
  <c r="AA29" i="3" s="1"/>
  <c r="AB29" i="3" s="1"/>
  <c r="S29" i="3"/>
  <c r="U29" i="3" s="1"/>
  <c r="M29" i="3"/>
  <c r="O29" i="3" s="1"/>
  <c r="G29" i="3"/>
  <c r="I29" i="3" s="1"/>
  <c r="Y28" i="3"/>
  <c r="AA28" i="3" s="1"/>
  <c r="AB28" i="3" s="1"/>
  <c r="U28" i="3"/>
  <c r="S28" i="3"/>
  <c r="M28" i="3"/>
  <c r="O28" i="3" s="1"/>
  <c r="G28" i="3"/>
  <c r="I28" i="3" s="1"/>
  <c r="Z24" i="3"/>
  <c r="Z40" i="3" s="1"/>
  <c r="X24" i="3"/>
  <c r="W24" i="3"/>
  <c r="W40" i="3" s="1"/>
  <c r="V24" i="3"/>
  <c r="Y24" i="3" s="1"/>
  <c r="T24" i="3"/>
  <c r="T40" i="3" s="1"/>
  <c r="R24" i="3"/>
  <c r="R40" i="3" s="1"/>
  <c r="Q24" i="3"/>
  <c r="Q40" i="3" s="1"/>
  <c r="P24" i="3"/>
  <c r="P40" i="3" s="1"/>
  <c r="N24" i="3"/>
  <c r="L24" i="3"/>
  <c r="L40" i="3" s="1"/>
  <c r="K24" i="3"/>
  <c r="K40" i="3" s="1"/>
  <c r="J24" i="3"/>
  <c r="H24" i="3"/>
  <c r="F24" i="3"/>
  <c r="F40" i="3" s="1"/>
  <c r="E24" i="3"/>
  <c r="E40" i="3" s="1"/>
  <c r="D24" i="3"/>
  <c r="AA23" i="3"/>
  <c r="Y23" i="3"/>
  <c r="S23" i="3"/>
  <c r="U23" i="3" s="1"/>
  <c r="M23" i="3"/>
  <c r="O23" i="3" s="1"/>
  <c r="G23" i="3"/>
  <c r="I23" i="3" s="1"/>
  <c r="Y22" i="3"/>
  <c r="AA22" i="3" s="1"/>
  <c r="S22" i="3"/>
  <c r="U22" i="3" s="1"/>
  <c r="M22" i="3"/>
  <c r="O22" i="3" s="1"/>
  <c r="G22" i="3"/>
  <c r="I22" i="3" s="1"/>
  <c r="Y21" i="3"/>
  <c r="AA21" i="3" s="1"/>
  <c r="AB21" i="3" s="1"/>
  <c r="U21" i="3"/>
  <c r="S21" i="3"/>
  <c r="M21" i="3"/>
  <c r="O21" i="3" s="1"/>
  <c r="G21" i="3"/>
  <c r="I21" i="3" s="1"/>
  <c r="Y20" i="3"/>
  <c r="AA20" i="3" s="1"/>
  <c r="AB20" i="3" s="1"/>
  <c r="S20" i="3"/>
  <c r="U20" i="3" s="1"/>
  <c r="M20" i="3"/>
  <c r="O20" i="3" s="1"/>
  <c r="I20" i="3"/>
  <c r="AA19" i="3"/>
  <c r="AB19" i="3" s="1"/>
  <c r="Y19" i="3"/>
  <c r="S19" i="3"/>
  <c r="U19" i="3" s="1"/>
  <c r="O19" i="3"/>
  <c r="M19" i="3"/>
  <c r="G19" i="3"/>
  <c r="I19" i="3" s="1"/>
  <c r="Y18" i="3"/>
  <c r="AA18" i="3" s="1"/>
  <c r="AB18" i="3" s="1"/>
  <c r="S18" i="3"/>
  <c r="U18" i="3" s="1"/>
  <c r="O18" i="3"/>
  <c r="M18" i="3"/>
  <c r="G18" i="3"/>
  <c r="I18" i="3" s="1"/>
  <c r="AA17" i="3"/>
  <c r="AB17" i="3" s="1"/>
  <c r="Y17" i="3"/>
  <c r="S17" i="3"/>
  <c r="U17" i="3" s="1"/>
  <c r="O17" i="3"/>
  <c r="M17" i="3"/>
  <c r="G17" i="3"/>
  <c r="I17" i="3" s="1"/>
  <c r="Y16" i="3"/>
  <c r="AA16" i="3" s="1"/>
  <c r="AB16" i="3" s="1"/>
  <c r="S16" i="3"/>
  <c r="U16" i="3" s="1"/>
  <c r="M16" i="3"/>
  <c r="O16" i="3" s="1"/>
  <c r="I16" i="3"/>
  <c r="G16" i="3"/>
  <c r="Y15" i="3"/>
  <c r="AA15" i="3" s="1"/>
  <c r="U15" i="3"/>
  <c r="S15" i="3"/>
  <c r="M15" i="3"/>
  <c r="O15" i="3" s="1"/>
  <c r="I15" i="3"/>
  <c r="G15" i="3"/>
  <c r="AB22" i="3" l="1"/>
  <c r="AB38" i="3"/>
  <c r="AB23" i="3"/>
  <c r="I24" i="3"/>
  <c r="I40" i="3" s="1"/>
  <c r="I41" i="3" s="1"/>
  <c r="G24" i="3"/>
  <c r="G40" i="3" s="1"/>
  <c r="U24" i="3"/>
  <c r="Y40" i="3"/>
  <c r="AB37" i="3"/>
  <c r="D40" i="3"/>
  <c r="H40" i="3"/>
  <c r="S24" i="3"/>
  <c r="S40" i="3" s="1"/>
  <c r="X40" i="3"/>
  <c r="Y39" i="3"/>
  <c r="V40" i="3"/>
  <c r="M24" i="3"/>
  <c r="M40" i="3" s="1"/>
  <c r="J40" i="3"/>
  <c r="I39" i="3"/>
  <c r="U39" i="3"/>
  <c r="U40" i="3" s="1"/>
  <c r="U41" i="3" s="1"/>
  <c r="O24" i="3"/>
  <c r="AA24" i="3"/>
  <c r="AB32" i="3"/>
  <c r="O39" i="3"/>
  <c r="AA39" i="3"/>
  <c r="AB15" i="3"/>
  <c r="AA40" i="3" l="1"/>
  <c r="AB24" i="3"/>
  <c r="AB39" i="3"/>
  <c r="O40" i="3"/>
  <c r="O41" i="3" s="1"/>
  <c r="AA41" i="3" l="1"/>
  <c r="AB41" i="3" s="1"/>
  <c r="AB40" i="3"/>
  <c r="Y57" i="2" l="1"/>
  <c r="S57" i="2"/>
  <c r="M57" i="2"/>
  <c r="G57" i="2"/>
  <c r="Y56" i="2"/>
  <c r="S56" i="2"/>
  <c r="M56" i="2"/>
  <c r="G56" i="2"/>
  <c r="Y55" i="2"/>
  <c r="S55" i="2"/>
  <c r="M55" i="2"/>
  <c r="G55" i="2"/>
  <c r="Y54" i="2"/>
  <c r="S54" i="2"/>
  <c r="M54" i="2"/>
  <c r="G54" i="2"/>
  <c r="Y53" i="2"/>
  <c r="S53" i="2"/>
  <c r="M53" i="2"/>
  <c r="G53" i="2"/>
  <c r="Z42" i="2"/>
  <c r="X42" i="2"/>
  <c r="W42" i="2"/>
  <c r="V42" i="2"/>
  <c r="T42" i="2"/>
  <c r="R42" i="2"/>
  <c r="Q42" i="2"/>
  <c r="P42" i="2"/>
  <c r="N42" i="2"/>
  <c r="L42" i="2"/>
  <c r="K42" i="2"/>
  <c r="J42" i="2"/>
  <c r="H42" i="2"/>
  <c r="F42" i="2"/>
  <c r="E42" i="2"/>
  <c r="D42" i="2"/>
  <c r="Y41" i="2"/>
  <c r="AA41" i="2" s="1"/>
  <c r="S41" i="2"/>
  <c r="U41" i="2" s="1"/>
  <c r="M41" i="2"/>
  <c r="O41" i="2" s="1"/>
  <c r="G41" i="2"/>
  <c r="I41" i="2" s="1"/>
  <c r="Y40" i="2"/>
  <c r="AA40" i="2" s="1"/>
  <c r="S40" i="2"/>
  <c r="U40" i="2" s="1"/>
  <c r="M40" i="2"/>
  <c r="O40" i="2" s="1"/>
  <c r="G40" i="2"/>
  <c r="I40" i="2" s="1"/>
  <c r="Y39" i="2"/>
  <c r="AA39" i="2" s="1"/>
  <c r="S39" i="2"/>
  <c r="U39" i="2" s="1"/>
  <c r="M39" i="2"/>
  <c r="O39" i="2" s="1"/>
  <c r="G39" i="2"/>
  <c r="I39" i="2" s="1"/>
  <c r="Y38" i="2"/>
  <c r="AA38" i="2" s="1"/>
  <c r="S38" i="2"/>
  <c r="U38" i="2" s="1"/>
  <c r="M38" i="2"/>
  <c r="O38" i="2" s="1"/>
  <c r="G38" i="2"/>
  <c r="I38" i="2" s="1"/>
  <c r="Y37" i="2"/>
  <c r="AA37" i="2" s="1"/>
  <c r="S37" i="2"/>
  <c r="U37" i="2" s="1"/>
  <c r="M37" i="2"/>
  <c r="O37" i="2" s="1"/>
  <c r="G37" i="2"/>
  <c r="I37" i="2" s="1"/>
  <c r="Y36" i="2"/>
  <c r="AA36" i="2" s="1"/>
  <c r="S36" i="2"/>
  <c r="U36" i="2" s="1"/>
  <c r="M36" i="2"/>
  <c r="O36" i="2" s="1"/>
  <c r="G36" i="2"/>
  <c r="I36" i="2" s="1"/>
  <c r="Y35" i="2"/>
  <c r="AA35" i="2" s="1"/>
  <c r="S35" i="2"/>
  <c r="U35" i="2" s="1"/>
  <c r="M35" i="2"/>
  <c r="O35" i="2" s="1"/>
  <c r="G35" i="2"/>
  <c r="I35" i="2" s="1"/>
  <c r="Y34" i="2"/>
  <c r="AA34" i="2" s="1"/>
  <c r="S34" i="2"/>
  <c r="U34" i="2" s="1"/>
  <c r="M34" i="2"/>
  <c r="O34" i="2" s="1"/>
  <c r="G34" i="2"/>
  <c r="I34" i="2" s="1"/>
  <c r="Y33" i="2"/>
  <c r="AA33" i="2" s="1"/>
  <c r="S33" i="2"/>
  <c r="U33" i="2" s="1"/>
  <c r="M33" i="2"/>
  <c r="O33" i="2" s="1"/>
  <c r="G33" i="2"/>
  <c r="I33" i="2" s="1"/>
  <c r="Y32" i="2"/>
  <c r="S32" i="2"/>
  <c r="U32" i="2" s="1"/>
  <c r="O32" i="2"/>
  <c r="M32" i="2"/>
  <c r="G32" i="2"/>
  <c r="I32" i="2" s="1"/>
  <c r="Y31" i="2"/>
  <c r="S31" i="2"/>
  <c r="U31" i="2" s="1"/>
  <c r="M31" i="2"/>
  <c r="O31" i="2" s="1"/>
  <c r="G31" i="2"/>
  <c r="I31" i="2" s="1"/>
  <c r="AA30" i="2"/>
  <c r="AB30" i="2" s="1"/>
  <c r="Y30" i="2"/>
  <c r="S30" i="2"/>
  <c r="U30" i="2" s="1"/>
  <c r="O30" i="2"/>
  <c r="M30" i="2"/>
  <c r="G30" i="2"/>
  <c r="I30" i="2" s="1"/>
  <c r="Y29" i="2"/>
  <c r="AA29" i="2" s="1"/>
  <c r="AB29" i="2" s="1"/>
  <c r="S29" i="2"/>
  <c r="U29" i="2" s="1"/>
  <c r="M29" i="2"/>
  <c r="O29" i="2" s="1"/>
  <c r="G29" i="2"/>
  <c r="I29" i="2" s="1"/>
  <c r="AA28" i="2"/>
  <c r="Y28" i="2"/>
  <c r="S28" i="2"/>
  <c r="U28" i="2" s="1"/>
  <c r="O28" i="2"/>
  <c r="M28" i="2"/>
  <c r="G28" i="2"/>
  <c r="I28" i="2" s="1"/>
  <c r="Z24" i="2"/>
  <c r="Z43" i="2" s="1"/>
  <c r="X24" i="2"/>
  <c r="X43" i="2" s="1"/>
  <c r="W24" i="2"/>
  <c r="W43" i="2" s="1"/>
  <c r="V24" i="2"/>
  <c r="Y24" i="2" s="1"/>
  <c r="T24" i="2"/>
  <c r="T43" i="2" s="1"/>
  <c r="R24" i="2"/>
  <c r="R43" i="2" s="1"/>
  <c r="Q24" i="2"/>
  <c r="Q43" i="2" s="1"/>
  <c r="P24" i="2"/>
  <c r="N24" i="2"/>
  <c r="N43" i="2" s="1"/>
  <c r="L24" i="2"/>
  <c r="L43" i="2" s="1"/>
  <c r="K24" i="2"/>
  <c r="K43" i="2" s="1"/>
  <c r="J24" i="2"/>
  <c r="M24" i="2" s="1"/>
  <c r="H24" i="2"/>
  <c r="H43" i="2" s="1"/>
  <c r="F24" i="2"/>
  <c r="F43" i="2" s="1"/>
  <c r="E24" i="2"/>
  <c r="E43" i="2" s="1"/>
  <c r="D24" i="2"/>
  <c r="AA23" i="2"/>
  <c r="Y23" i="2"/>
  <c r="S23" i="2"/>
  <c r="U23" i="2" s="1"/>
  <c r="O23" i="2"/>
  <c r="M23" i="2"/>
  <c r="I23" i="2"/>
  <c r="Y22" i="2"/>
  <c r="AA22" i="2" s="1"/>
  <c r="AB22" i="2" s="1"/>
  <c r="S22" i="2"/>
  <c r="U22" i="2" s="1"/>
  <c r="M22" i="2"/>
  <c r="O22" i="2" s="1"/>
  <c r="G22" i="2"/>
  <c r="I22" i="2" s="1"/>
  <c r="Y21" i="2"/>
  <c r="AA21" i="2" s="1"/>
  <c r="AB21" i="2" s="1"/>
  <c r="S21" i="2"/>
  <c r="U21" i="2" s="1"/>
  <c r="M21" i="2"/>
  <c r="O21" i="2" s="1"/>
  <c r="I21" i="2"/>
  <c r="Y20" i="2"/>
  <c r="AA20" i="2" s="1"/>
  <c r="AB20" i="2" s="1"/>
  <c r="S20" i="2"/>
  <c r="U20" i="2" s="1"/>
  <c r="M20" i="2"/>
  <c r="O20" i="2" s="1"/>
  <c r="I20" i="2"/>
  <c r="Y19" i="2"/>
  <c r="AA19" i="2" s="1"/>
  <c r="AB19" i="2" s="1"/>
  <c r="S19" i="2"/>
  <c r="U19" i="2" s="1"/>
  <c r="M19" i="2"/>
  <c r="O19" i="2" s="1"/>
  <c r="I19" i="2"/>
  <c r="Y18" i="2"/>
  <c r="AA18" i="2" s="1"/>
  <c r="AB18" i="2" s="1"/>
  <c r="S18" i="2"/>
  <c r="U18" i="2" s="1"/>
  <c r="M18" i="2"/>
  <c r="O18" i="2" s="1"/>
  <c r="G18" i="2"/>
  <c r="I18" i="2" s="1"/>
  <c r="Y17" i="2"/>
  <c r="AA17" i="2" s="1"/>
  <c r="AB17" i="2" s="1"/>
  <c r="S17" i="2"/>
  <c r="U17" i="2" s="1"/>
  <c r="M17" i="2"/>
  <c r="O17" i="2" s="1"/>
  <c r="G17" i="2"/>
  <c r="I17" i="2" s="1"/>
  <c r="Y16" i="2"/>
  <c r="AA16" i="2" s="1"/>
  <c r="AB16" i="2" s="1"/>
  <c r="S16" i="2"/>
  <c r="U16" i="2" s="1"/>
  <c r="M16" i="2"/>
  <c r="O16" i="2" s="1"/>
  <c r="G16" i="2"/>
  <c r="I16" i="2" s="1"/>
  <c r="Y15" i="2"/>
  <c r="AA15" i="2" s="1"/>
  <c r="S15" i="2"/>
  <c r="U15" i="2" s="1"/>
  <c r="M15" i="2"/>
  <c r="O15" i="2" s="1"/>
  <c r="O24" i="2" s="1"/>
  <c r="G15" i="2"/>
  <c r="I15" i="2" s="1"/>
  <c r="I24" i="2" s="1"/>
  <c r="AB34" i="2" l="1"/>
  <c r="AB36" i="2"/>
  <c r="AB38" i="2"/>
  <c r="AB40" i="2"/>
  <c r="D43" i="2"/>
  <c r="P43" i="2"/>
  <c r="G42" i="2"/>
  <c r="M42" i="2"/>
  <c r="M43" i="2" s="1"/>
  <c r="S42" i="2"/>
  <c r="Y42" i="2"/>
  <c r="Y43" i="2" s="1"/>
  <c r="AB28" i="2"/>
  <c r="AB23" i="2"/>
  <c r="AA24" i="2"/>
  <c r="O42" i="2"/>
  <c r="O43" i="2" s="1"/>
  <c r="O44" i="2" s="1"/>
  <c r="U42" i="2"/>
  <c r="I42" i="2"/>
  <c r="I43" i="2" s="1"/>
  <c r="I44" i="2" s="1"/>
  <c r="U24" i="2"/>
  <c r="AB33" i="2"/>
  <c r="AB35" i="2"/>
  <c r="AA42" i="2"/>
  <c r="AB37" i="2"/>
  <c r="AB39" i="2"/>
  <c r="AB41" i="2"/>
  <c r="J43" i="2"/>
  <c r="V43" i="2"/>
  <c r="AB15" i="2"/>
  <c r="G24" i="2"/>
  <c r="G43" i="2" s="1"/>
  <c r="S24" i="2"/>
  <c r="S43" i="2" l="1"/>
  <c r="U43" i="2"/>
  <c r="U44" i="2" s="1"/>
  <c r="AB42" i="2"/>
  <c r="AB24" i="2"/>
  <c r="AA43" i="2"/>
  <c r="AA44" i="2" l="1"/>
  <c r="AB44" i="2" s="1"/>
  <c r="AB43" i="2"/>
  <c r="S53" i="1" l="1"/>
  <c r="V53" i="1" s="1"/>
  <c r="Y53" i="1" s="1"/>
  <c r="M53" i="1"/>
  <c r="G53" i="1"/>
  <c r="Y52" i="1"/>
  <c r="S52" i="1"/>
  <c r="G52" i="1"/>
  <c r="J52" i="1" s="1"/>
  <c r="M52" i="1" s="1"/>
  <c r="S51" i="1"/>
  <c r="Y51" i="1" s="1"/>
  <c r="M51" i="1"/>
  <c r="G51" i="1"/>
  <c r="Y50" i="1"/>
  <c r="S50" i="1"/>
  <c r="M50" i="1"/>
  <c r="G50" i="1"/>
  <c r="J44" i="1"/>
  <c r="D44" i="1"/>
  <c r="Z39" i="1"/>
  <c r="X39" i="1"/>
  <c r="W39" i="1"/>
  <c r="V39" i="1"/>
  <c r="Y39" i="1" s="1"/>
  <c r="T39" i="1"/>
  <c r="R39" i="1"/>
  <c r="N39" i="1"/>
  <c r="L39" i="1"/>
  <c r="K39" i="1"/>
  <c r="J39" i="1"/>
  <c r="H39" i="1"/>
  <c r="F39" i="1"/>
  <c r="F40" i="1" s="1"/>
  <c r="D39" i="1"/>
  <c r="Y38" i="1"/>
  <c r="AA38" i="1" s="1"/>
  <c r="Q38" i="1"/>
  <c r="S38" i="1" s="1"/>
  <c r="U38" i="1" s="1"/>
  <c r="M38" i="1"/>
  <c r="O38" i="1" s="1"/>
  <c r="G38" i="1"/>
  <c r="I38" i="1" s="1"/>
  <c r="Y37" i="1"/>
  <c r="AA37" i="1" s="1"/>
  <c r="S37" i="1"/>
  <c r="U37" i="1" s="1"/>
  <c r="M37" i="1"/>
  <c r="O37" i="1" s="1"/>
  <c r="G37" i="1"/>
  <c r="I37" i="1" s="1"/>
  <c r="AA36" i="1"/>
  <c r="Y36" i="1"/>
  <c r="S36" i="1"/>
  <c r="U36" i="1" s="1"/>
  <c r="M36" i="1"/>
  <c r="O36" i="1" s="1"/>
  <c r="G36" i="1"/>
  <c r="I36" i="1" s="1"/>
  <c r="Y35" i="1"/>
  <c r="AA35" i="1" s="1"/>
  <c r="S35" i="1"/>
  <c r="U35" i="1" s="1"/>
  <c r="Q35" i="1"/>
  <c r="P35" i="1"/>
  <c r="M35" i="1"/>
  <c r="O35" i="1" s="1"/>
  <c r="I35" i="1"/>
  <c r="G35" i="1"/>
  <c r="Y34" i="1"/>
  <c r="AA34" i="1" s="1"/>
  <c r="AB34" i="1" s="1"/>
  <c r="S34" i="1"/>
  <c r="U34" i="1" s="1"/>
  <c r="O34" i="1"/>
  <c r="M34" i="1"/>
  <c r="G34" i="1"/>
  <c r="I34" i="1" s="1"/>
  <c r="AA33" i="1"/>
  <c r="Y33" i="1"/>
  <c r="S33" i="1"/>
  <c r="U33" i="1" s="1"/>
  <c r="O33" i="1"/>
  <c r="AB33" i="1" s="1"/>
  <c r="M33" i="1"/>
  <c r="G33" i="1"/>
  <c r="I33" i="1" s="1"/>
  <c r="Y32" i="1"/>
  <c r="AA32" i="1" s="1"/>
  <c r="U32" i="1"/>
  <c r="S32" i="1"/>
  <c r="M32" i="1"/>
  <c r="O32" i="1" s="1"/>
  <c r="G32" i="1"/>
  <c r="I32" i="1" s="1"/>
  <c r="E32" i="1"/>
  <c r="E39" i="1" s="1"/>
  <c r="Y31" i="1"/>
  <c r="AA31" i="1" s="1"/>
  <c r="P31" i="1"/>
  <c r="S31" i="1" s="1"/>
  <c r="U31" i="1" s="1"/>
  <c r="M31" i="1"/>
  <c r="O31" i="1" s="1"/>
  <c r="G31" i="1"/>
  <c r="I31" i="1" s="1"/>
  <c r="Y30" i="1"/>
  <c r="AA30" i="1" s="1"/>
  <c r="U30" i="1"/>
  <c r="S30" i="1"/>
  <c r="M30" i="1"/>
  <c r="O30" i="1" s="1"/>
  <c r="G30" i="1"/>
  <c r="I30" i="1" s="1"/>
  <c r="Y29" i="1"/>
  <c r="AA29" i="1" s="1"/>
  <c r="P29" i="1"/>
  <c r="S29" i="1" s="1"/>
  <c r="U29" i="1" s="1"/>
  <c r="M29" i="1"/>
  <c r="O29" i="1" s="1"/>
  <c r="G29" i="1"/>
  <c r="I29" i="1" s="1"/>
  <c r="Y28" i="1"/>
  <c r="AA28" i="1" s="1"/>
  <c r="S28" i="1"/>
  <c r="U28" i="1" s="1"/>
  <c r="M28" i="1"/>
  <c r="O28" i="1" s="1"/>
  <c r="G28" i="1"/>
  <c r="I28" i="1" s="1"/>
  <c r="Z24" i="1"/>
  <c r="Z40" i="1" s="1"/>
  <c r="X24" i="1"/>
  <c r="X40" i="1" s="1"/>
  <c r="W24" i="1"/>
  <c r="T24" i="1"/>
  <c r="T40" i="1" s="1"/>
  <c r="Q24" i="1"/>
  <c r="P24" i="1"/>
  <c r="N24" i="1"/>
  <c r="N40" i="1" s="1"/>
  <c r="L24" i="1"/>
  <c r="K24" i="1"/>
  <c r="J24" i="1"/>
  <c r="J40" i="1" s="1"/>
  <c r="H24" i="1"/>
  <c r="H40" i="1" s="1"/>
  <c r="F24" i="1"/>
  <c r="E24" i="1"/>
  <c r="D24" i="1"/>
  <c r="D40" i="1" s="1"/>
  <c r="Y23" i="1"/>
  <c r="AA23" i="1" s="1"/>
  <c r="S23" i="1"/>
  <c r="U23" i="1" s="1"/>
  <c r="M23" i="1"/>
  <c r="O23" i="1" s="1"/>
  <c r="G23" i="1"/>
  <c r="I23" i="1" s="1"/>
  <c r="AA22" i="1"/>
  <c r="AB22" i="1" s="1"/>
  <c r="Y22" i="1"/>
  <c r="S22" i="1"/>
  <c r="M22" i="1"/>
  <c r="O22" i="1" s="1"/>
  <c r="G22" i="1"/>
  <c r="I22" i="1" s="1"/>
  <c r="AA21" i="1"/>
  <c r="Y21" i="1"/>
  <c r="R21" i="1"/>
  <c r="S21" i="1" s="1"/>
  <c r="U21" i="1" s="1"/>
  <c r="M21" i="1"/>
  <c r="O21" i="1" s="1"/>
  <c r="G21" i="1"/>
  <c r="I21" i="1" s="1"/>
  <c r="Y20" i="1"/>
  <c r="AA20" i="1" s="1"/>
  <c r="S20" i="1"/>
  <c r="U20" i="1" s="1"/>
  <c r="O20" i="1"/>
  <c r="G20" i="1"/>
  <c r="I20" i="1" s="1"/>
  <c r="Y19" i="1"/>
  <c r="AA19" i="1" s="1"/>
  <c r="U19" i="1"/>
  <c r="S19" i="1"/>
  <c r="M19" i="1"/>
  <c r="O19" i="1" s="1"/>
  <c r="G19" i="1"/>
  <c r="I19" i="1" s="1"/>
  <c r="Y18" i="1"/>
  <c r="AA18" i="1" s="1"/>
  <c r="AB18" i="1" s="1"/>
  <c r="S18" i="1"/>
  <c r="U18" i="1" s="1"/>
  <c r="M18" i="1"/>
  <c r="O18" i="1" s="1"/>
  <c r="G18" i="1"/>
  <c r="I18" i="1" s="1"/>
  <c r="AA17" i="1"/>
  <c r="Y17" i="1"/>
  <c r="S17" i="1"/>
  <c r="U17" i="1" s="1"/>
  <c r="O17" i="1"/>
  <c r="M17" i="1"/>
  <c r="G17" i="1"/>
  <c r="I17" i="1" s="1"/>
  <c r="V16" i="1"/>
  <c r="V24" i="1" s="1"/>
  <c r="U16" i="1"/>
  <c r="S16" i="1"/>
  <c r="M16" i="1"/>
  <c r="O16" i="1" s="1"/>
  <c r="G16" i="1"/>
  <c r="I16" i="1" s="1"/>
  <c r="Y15" i="1"/>
  <c r="AA15" i="1" s="1"/>
  <c r="S15" i="1"/>
  <c r="U15" i="1" s="1"/>
  <c r="M15" i="1"/>
  <c r="O15" i="1" s="1"/>
  <c r="G15" i="1"/>
  <c r="I15" i="1" s="1"/>
  <c r="W40" i="1" l="1"/>
  <c r="U24" i="1"/>
  <c r="AB20" i="1"/>
  <c r="AB28" i="1"/>
  <c r="M39" i="1"/>
  <c r="AB36" i="1"/>
  <c r="AB17" i="1"/>
  <c r="AB21" i="1"/>
  <c r="L40" i="1"/>
  <c r="AB29" i="1"/>
  <c r="G39" i="1"/>
  <c r="Q39" i="1"/>
  <c r="Q40" i="1" s="1"/>
  <c r="K40" i="1"/>
  <c r="AB15" i="1"/>
  <c r="I24" i="1"/>
  <c r="AB23" i="1"/>
  <c r="I39" i="1"/>
  <c r="U39" i="1"/>
  <c r="AB37" i="1"/>
  <c r="O24" i="1"/>
  <c r="O40" i="1" s="1"/>
  <c r="O41" i="1" s="1"/>
  <c r="V40" i="1"/>
  <c r="Y24" i="1"/>
  <c r="Y40" i="1" s="1"/>
  <c r="AB19" i="1"/>
  <c r="AB30" i="1"/>
  <c r="AB32" i="1"/>
  <c r="O39" i="1"/>
  <c r="AB35" i="1"/>
  <c r="U40" i="1"/>
  <c r="U41" i="1" s="1"/>
  <c r="E40" i="1"/>
  <c r="AB31" i="1"/>
  <c r="AB38" i="1"/>
  <c r="AA39" i="1"/>
  <c r="R24" i="1"/>
  <c r="R40" i="1" s="1"/>
  <c r="P39" i="1"/>
  <c r="Y16" i="1"/>
  <c r="AA16" i="1" s="1"/>
  <c r="AB16" i="1" s="1"/>
  <c r="G24" i="1"/>
  <c r="M24" i="1"/>
  <c r="M40" i="1" s="1"/>
  <c r="S39" i="1" l="1"/>
  <c r="S24" i="1"/>
  <c r="G40" i="1"/>
  <c r="AA24" i="1"/>
  <c r="P40" i="1"/>
  <c r="S40" i="1"/>
  <c r="I40" i="1"/>
  <c r="I41" i="1" s="1"/>
  <c r="AB39" i="1"/>
  <c r="AB24" i="1" l="1"/>
  <c r="AA40" i="1"/>
  <c r="AA41" i="1" l="1"/>
  <c r="AB41" i="1" s="1"/>
  <c r="AB40" i="1"/>
</calcChain>
</file>

<file path=xl/sharedStrings.xml><?xml version="1.0" encoding="utf-8"?>
<sst xmlns="http://schemas.openxmlformats.org/spreadsheetml/2006/main" count="1006" uniqueCount="145">
  <si>
    <t>Návrh rozpočtu 2020</t>
  </si>
  <si>
    <t>Název organizace:</t>
  </si>
  <si>
    <t>Chomutovská knihovna, příspěvková organizace</t>
  </si>
  <si>
    <t>IČO:</t>
  </si>
  <si>
    <t>Sídlo:</t>
  </si>
  <si>
    <t>Palackého 4995/85, Chomutov</t>
  </si>
  <si>
    <t xml:space="preserve">Poř.č. řádku </t>
  </si>
  <si>
    <t>Ukazatel</t>
  </si>
  <si>
    <t>Skutečnost k 31.12.2018</t>
  </si>
  <si>
    <t>Schválený rozpočet (plán NaV 2019)</t>
  </si>
  <si>
    <t>Skutečnost k 30.6.2019</t>
  </si>
  <si>
    <t>Plán 2020 (návrh rozpočtu organizace)</t>
  </si>
  <si>
    <t>Porovnání s rokem 2019</t>
  </si>
  <si>
    <t>Hlavní činnost</t>
  </si>
  <si>
    <t>Doplňková činnost</t>
  </si>
  <si>
    <t>Organizace celkem</t>
  </si>
  <si>
    <t>VÝNOSY</t>
  </si>
  <si>
    <t>Výnosy</t>
  </si>
  <si>
    <t>Výnosy Hl.Č. celkem</t>
  </si>
  <si>
    <t>Výnosy DČ</t>
  </si>
  <si>
    <t>zřizovatel</t>
  </si>
  <si>
    <t>ostatní transfery</t>
  </si>
  <si>
    <t>vlastní činnost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</si>
  <si>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</si>
  <si>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</si>
  <si>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</si>
  <si>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</si>
  <si>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</si>
  <si>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</si>
  <si>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</si>
  <si>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</si>
  <si>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</si>
  <si>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</si>
  <si>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</si>
  <si>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</si>
  <si>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</si>
  <si>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</si>
  <si>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</si>
  <si>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</si>
  <si>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ů</t>
  </si>
  <si>
    <t>9.</t>
  </si>
  <si>
    <t>příjmy z prodeje majetku</t>
  </si>
  <si>
    <t>10.</t>
  </si>
  <si>
    <t>Výnosy celkem</t>
  </si>
  <si>
    <t>NÁKLADY</t>
  </si>
  <si>
    <t>Porovnání s rokem 2018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</si>
  <si>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</si>
  <si>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Náklady Hl.Č celkem</t>
  </si>
  <si>
    <t>Náklady DČ</t>
  </si>
  <si>
    <t>z příspěvku zřizovatele</t>
  </si>
  <si>
    <t>ostatních transferů</t>
  </si>
  <si>
    <t>z vlastních výnosů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</si>
  <si>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</si>
  <si>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</si>
  <si>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</si>
  <si>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</si>
  <si>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</si>
  <si>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</si>
  <si>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</si>
  <si>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</si>
  <si>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</si>
  <si>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</si>
  <si>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</si>
  <si>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</si>
  <si>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</si>
  <si>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</si>
  <si>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</si>
  <si>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</si>
  <si>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</si>
  <si>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</si>
  <si>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</si>
  <si>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</si>
  <si>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</si>
  <si>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</si>
  <si>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</si>
  <si>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</si>
  <si>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</si>
  <si>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</si>
  <si>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</si>
  <si>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</si>
  <si>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</si>
  <si>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Celkem</t>
  </si>
  <si>
    <t>z provozu</t>
  </si>
  <si>
    <t>ostatní</t>
  </si>
  <si>
    <t>Investiční příspěvek/dotace</t>
  </si>
  <si>
    <t>Investiční příspěvek zřizovatel</t>
  </si>
  <si>
    <t>Ostatní investiční transfery</t>
  </si>
  <si>
    <t>Stavy peněžitých fondů</t>
  </si>
  <si>
    <t>Stav k 1.1.</t>
  </si>
  <si>
    <t>Příděl v roce</t>
  </si>
  <si>
    <t>Čerpání v roce</t>
  </si>
  <si>
    <t>Zůstatek k 31.12.</t>
  </si>
  <si>
    <t>Plán k 31.12.</t>
  </si>
  <si>
    <t>Plán k 1.1.</t>
  </si>
  <si>
    <t>Rezervní fond</t>
  </si>
  <si>
    <t>Fond investic</t>
  </si>
  <si>
    <t>Fond odměn</t>
  </si>
  <si>
    <t>FKSP</t>
  </si>
  <si>
    <t>Průměrný přepočtený stav zaměstnanců k:</t>
  </si>
  <si>
    <t>1.1.</t>
  </si>
  <si>
    <t>31.12.</t>
  </si>
  <si>
    <t>Plán 31.12.</t>
  </si>
  <si>
    <t>Skutečnost k 30.6.</t>
  </si>
  <si>
    <t>Komentář k návrhu rozpočtu:</t>
  </si>
  <si>
    <t xml:space="preserve"> viz. příloha</t>
  </si>
  <si>
    <t>Dne:</t>
  </si>
  <si>
    <t xml:space="preserve">Sestavil: </t>
  </si>
  <si>
    <t>Ing. Martina Marešová</t>
  </si>
  <si>
    <t xml:space="preserve">Schválil: </t>
  </si>
  <si>
    <t>Podpis:</t>
  </si>
  <si>
    <t>Městské lesy Chomutov, příspěvková organizace</t>
  </si>
  <si>
    <t>Hora Sv. Šebestiána 90, 431 82</t>
  </si>
  <si>
    <t>Aktivace oběžného majetku</t>
  </si>
  <si>
    <t>Změna stavu zásob</t>
  </si>
  <si>
    <t>22.</t>
  </si>
  <si>
    <t>Tvorba a zúčtování rezerv</t>
  </si>
  <si>
    <t>24.</t>
  </si>
  <si>
    <t>27.</t>
  </si>
  <si>
    <t>Stavy fondů</t>
  </si>
  <si>
    <t xml:space="preserve">Žádost o investiční příspěvek zřizovatele je požadován na pořízení vyvážecí soupravy. Odhadovaná pořizovac cena dle průzkumu trhu je cca 4.000.000,- Kč. Na pořízení bude podána žádost o dotaci z Programu rozvoje venkova. </t>
  </si>
  <si>
    <t>Ing. Veronika Purkrábek, ekonom</t>
  </si>
  <si>
    <t>Petr Markes, ředitel</t>
  </si>
  <si>
    <t>Sociální služby Chomutov, příspěvková organizace</t>
  </si>
  <si>
    <t>Písečná 5030, 430 04 Chomutov</t>
  </si>
  <si>
    <t xml:space="preserve"> </t>
  </si>
  <si>
    <t>viz příloha</t>
  </si>
  <si>
    <t>Ing. Ivana Vomáčková, finanční manažerka</t>
  </si>
  <si>
    <t>Mgr. Alena Tölgová, ředitelka</t>
  </si>
  <si>
    <t>Zoopark Chomutov, p.o.</t>
  </si>
  <si>
    <t>Přemyslova 259, 430 01 Chomutov</t>
  </si>
  <si>
    <t>Zůstatek k 30.6.</t>
  </si>
  <si>
    <t>1. Opravy a udržování: započítaná změna rozpočtu 2019  na základě rozpočtového opatření č. 72/2019 (převedení fondu oprav města), tzn. Částka je shodná s rokem 2019</t>
  </si>
  <si>
    <t xml:space="preserve">2. Energie: dle skutečnosti má organizace za 1-6/2019 vyšší náklady na energie, z toho důvodu byly na rok 2020 navýšeny o 480 tis. Kč, a o tuto částku byly sníženy služby </t>
  </si>
  <si>
    <t>3. Mzdové náklady - jsou navýšeny o 4,09 %, což odpovídá zvýšení základních mezd o 5%</t>
  </si>
  <si>
    <t>4. Odpisy nehmotného a hmotného investičního majetku: zde je započítaná změna rozpočtu 2019 ( změna zřizovací listiny 21.12.2018 + smlouva o bezúplatném převodu majetku (evidenční číslo: d201900031)</t>
  </si>
  <si>
    <t>Z výše uvedených důvodů žádáme o příspěvek 42 mil. Kč</t>
  </si>
  <si>
    <t>ing. Monika Čakajdová</t>
  </si>
  <si>
    <t>Bc. Věra Fryčová</t>
  </si>
  <si>
    <t>Technické služby města Chomutova, příspěvková organizace</t>
  </si>
  <si>
    <t>náměstí 1. máje 89, 430 01 Chomutov</t>
  </si>
  <si>
    <t>ostatní z IF</t>
  </si>
  <si>
    <t>Ing. Petra Langhammerová</t>
  </si>
  <si>
    <t>Ing. Zbyněk Koblížek</t>
  </si>
  <si>
    <t>POZOR! Zde došlo k neshodě a příspěvek zřizovatele určen ve výši 127.400.000 Kč. Organizace rozpis na novou částku nezpracovala.</t>
  </si>
  <si>
    <t>Mgr. Kamila Jonášová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</si>
</sst>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"/>
    <numFmt numFmtId="165" formatCode="#,##0.0"/>
    <numFmt numFmtId="166" formatCode="#,##0.0_ ;[Red]\-#,##0.0\ 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239">
    <xf numFmtId="0" fontId="0" fillId="0" borderId="0" xfId="0"/>
    <xf numFmtId="0" fontId="0" fillId="2" borderId="0" xfId="0" applyFill="1" applyProtection="1"/>
    <xf numFmtId="10" fontId="0" fillId="2" borderId="0" xfId="0" applyNumberFormat="1" applyFont="1" applyFill="1" applyProtection="1"/>
    <xf numFmtId="0" fontId="0" fillId="2" borderId="0" xfId="0" applyFill="1"/>
    <xf numFmtId="0" fontId="0" fillId="0" borderId="0" xfId="0" applyFill="1"/>
    <xf numFmtId="0" fontId="4" fillId="2" borderId="0" xfId="0" applyFont="1" applyFill="1" applyProtection="1"/>
    <xf numFmtId="164" fontId="3" fillId="0" borderId="0" xfId="0" applyNumberFormat="1" applyFont="1" applyFill="1" applyAlignment="1" applyProtection="1">
      <alignment horizontal="left"/>
      <protection locked="0"/>
    </xf>
    <xf numFmtId="0" fontId="5" fillId="2" borderId="0" xfId="0" applyFont="1" applyFill="1" applyProtection="1"/>
    <xf numFmtId="0" fontId="3" fillId="3" borderId="6" xfId="0" applyFont="1" applyFill="1" applyBorder="1" applyAlignment="1" applyProtection="1">
      <alignment horizontal="center" vertical="center" wrapText="1"/>
    </xf>
    <xf numFmtId="0" fontId="3" fillId="5" borderId="19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0" fillId="0" borderId="22" xfId="0" applyFill="1" applyBorder="1" applyAlignment="1" applyProtection="1">
      <alignment horizontal="center"/>
    </xf>
    <xf numFmtId="0" fontId="0" fillId="0" borderId="23" xfId="0" applyFill="1" applyBorder="1" applyProtection="1"/>
    <xf numFmtId="165" fontId="0" fillId="6" borderId="24" xfId="0" applyNumberFormat="1" applyFont="1" applyFill="1" applyBorder="1" applyAlignment="1" applyProtection="1">
      <alignment horizontal="right"/>
    </xf>
    <xf numFmtId="165" fontId="0" fillId="6" borderId="25" xfId="0" applyNumberFormat="1" applyFont="1" applyFill="1" applyBorder="1" applyAlignment="1" applyProtection="1">
      <alignment horizontal="right"/>
    </xf>
    <xf numFmtId="165" fontId="0" fillId="0" borderId="26" xfId="0" applyNumberFormat="1" applyFont="1" applyFill="1" applyBorder="1" applyAlignment="1" applyProtection="1">
      <alignment horizontal="right"/>
      <protection locked="0"/>
    </xf>
    <xf numFmtId="165" fontId="0" fillId="0" borderId="27" xfId="0" applyNumberFormat="1" applyFont="1" applyFill="1" applyBorder="1" applyAlignment="1" applyProtection="1">
      <alignment horizontal="right"/>
      <protection locked="0"/>
    </xf>
    <xf numFmtId="165" fontId="0" fillId="0" borderId="27" xfId="0" applyNumberFormat="1" applyFont="1" applyFill="1" applyBorder="1" applyAlignment="1" applyProtection="1">
      <alignment horizontal="right"/>
    </xf>
    <xf numFmtId="165" fontId="0" fillId="0" borderId="24" xfId="0" applyNumberFormat="1" applyFont="1" applyFill="1" applyBorder="1" applyAlignment="1" applyProtection="1">
      <alignment horizontal="right"/>
      <protection locked="0"/>
    </xf>
    <xf numFmtId="10" fontId="5" fillId="0" borderId="27" xfId="0" applyNumberFormat="1" applyFont="1" applyFill="1" applyBorder="1" applyProtection="1"/>
    <xf numFmtId="0" fontId="0" fillId="0" borderId="28" xfId="0" applyFill="1" applyBorder="1" applyAlignment="1" applyProtection="1">
      <alignment horizontal="center"/>
    </xf>
    <xf numFmtId="0" fontId="0" fillId="7" borderId="29" xfId="0" applyFill="1" applyBorder="1" applyProtection="1"/>
    <xf numFmtId="165" fontId="0" fillId="7" borderId="28" xfId="0" applyNumberFormat="1" applyFont="1" applyFill="1" applyBorder="1" applyAlignment="1" applyProtection="1">
      <alignment horizontal="right"/>
      <protection locked="0"/>
    </xf>
    <xf numFmtId="165" fontId="0" fillId="6" borderId="30" xfId="0" applyNumberFormat="1" applyFont="1" applyFill="1" applyBorder="1" applyAlignment="1" applyProtection="1">
      <alignment horizontal="right"/>
    </xf>
    <xf numFmtId="165" fontId="0" fillId="0" borderId="31" xfId="0" applyNumberFormat="1" applyFont="1" applyFill="1" applyBorder="1" applyAlignment="1" applyProtection="1">
      <alignment horizontal="right"/>
      <protection locked="0"/>
    </xf>
    <xf numFmtId="165" fontId="0" fillId="8" borderId="27" xfId="0" applyNumberFormat="1" applyFont="1" applyFill="1" applyBorder="1" applyAlignment="1" applyProtection="1">
      <alignment horizontal="right"/>
      <protection locked="0"/>
    </xf>
    <xf numFmtId="0" fontId="5" fillId="9" borderId="29" xfId="0" applyFont="1" applyFill="1" applyBorder="1" applyProtection="1"/>
    <xf numFmtId="165" fontId="2" fillId="9" borderId="28" xfId="0" applyNumberFormat="1" applyFont="1" applyFill="1" applyBorder="1" applyAlignment="1" applyProtection="1">
      <alignment horizontal="right"/>
      <protection locked="0"/>
    </xf>
    <xf numFmtId="165" fontId="2" fillId="6" borderId="30" xfId="0" applyNumberFormat="1" applyFont="1" applyFill="1" applyBorder="1" applyAlignment="1" applyProtection="1">
      <alignment horizontal="right"/>
    </xf>
    <xf numFmtId="165" fontId="0" fillId="8" borderId="32" xfId="0" applyNumberFormat="1" applyFont="1" applyFill="1" applyBorder="1" applyAlignment="1" applyProtection="1">
      <alignment horizontal="right"/>
      <protection locked="0"/>
    </xf>
    <xf numFmtId="0" fontId="5" fillId="0" borderId="29" xfId="0" applyFont="1" applyFill="1" applyBorder="1" applyAlignment="1" applyProtection="1">
      <alignment horizontal="left"/>
    </xf>
    <xf numFmtId="165" fontId="0" fillId="6" borderId="28" xfId="0" applyNumberFormat="1" applyFont="1" applyFill="1" applyBorder="1" applyAlignment="1" applyProtection="1">
      <alignment horizontal="right"/>
    </xf>
    <xf numFmtId="165" fontId="2" fillId="0" borderId="30" xfId="0" applyNumberFormat="1" applyFont="1" applyFill="1" applyBorder="1" applyAlignment="1" applyProtection="1">
      <alignment horizontal="right"/>
      <protection locked="0"/>
    </xf>
    <xf numFmtId="0" fontId="5" fillId="0" borderId="29" xfId="0" applyFont="1" applyBorder="1" applyProtection="1"/>
    <xf numFmtId="165" fontId="2" fillId="6" borderId="28" xfId="0" applyNumberFormat="1" applyFont="1" applyFill="1" applyBorder="1" applyAlignment="1" applyProtection="1">
      <alignment horizontal="right"/>
    </xf>
    <xf numFmtId="165" fontId="2" fillId="0" borderId="30" xfId="0" applyNumberFormat="1" applyFont="1" applyBorder="1" applyAlignment="1" applyProtection="1">
      <alignment horizontal="right"/>
      <protection locked="0"/>
    </xf>
    <xf numFmtId="165" fontId="0" fillId="0" borderId="27" xfId="0" applyNumberFormat="1" applyFont="1" applyBorder="1" applyAlignment="1" applyProtection="1">
      <alignment horizontal="right"/>
      <protection locked="0"/>
    </xf>
    <xf numFmtId="0" fontId="8" fillId="0" borderId="29" xfId="0" applyFont="1" applyBorder="1" applyProtection="1"/>
    <xf numFmtId="165" fontId="0" fillId="0" borderId="30" xfId="0" applyNumberFormat="1" applyFont="1" applyBorder="1" applyAlignment="1" applyProtection="1">
      <alignment horizontal="right"/>
      <protection locked="0"/>
    </xf>
    <xf numFmtId="0" fontId="0" fillId="0" borderId="29" xfId="0" applyBorder="1" applyProtection="1"/>
    <xf numFmtId="165" fontId="0" fillId="0" borderId="32" xfId="0" applyNumberFormat="1" applyFont="1" applyBorder="1" applyAlignment="1" applyProtection="1">
      <alignment horizontal="right"/>
      <protection locked="0"/>
    </xf>
    <xf numFmtId="0" fontId="0" fillId="0" borderId="33" xfId="0" applyFill="1" applyBorder="1" applyAlignment="1" applyProtection="1">
      <alignment horizontal="center"/>
    </xf>
    <xf numFmtId="0" fontId="0" fillId="0" borderId="34" xfId="0" applyBorder="1" applyAlignment="1" applyProtection="1">
      <alignment horizontal="left" indent="5"/>
    </xf>
    <xf numFmtId="165" fontId="0" fillId="6" borderId="35" xfId="0" applyNumberFormat="1" applyFont="1" applyFill="1" applyBorder="1" applyAlignment="1" applyProtection="1">
      <alignment horizontal="right"/>
    </xf>
    <xf numFmtId="165" fontId="0" fillId="6" borderId="36" xfId="0" applyNumberFormat="1" applyFont="1" applyFill="1" applyBorder="1" applyAlignment="1" applyProtection="1">
      <alignment horizontal="right"/>
    </xf>
    <xf numFmtId="165" fontId="0" fillId="0" borderId="37" xfId="0" applyNumberFormat="1" applyFont="1" applyFill="1" applyBorder="1" applyAlignment="1" applyProtection="1">
      <alignment horizontal="right"/>
      <protection locked="0"/>
    </xf>
    <xf numFmtId="165" fontId="0" fillId="0" borderId="38" xfId="0" applyNumberFormat="1" applyFont="1" applyBorder="1" applyAlignment="1" applyProtection="1">
      <alignment horizontal="right"/>
      <protection locked="0"/>
    </xf>
    <xf numFmtId="165" fontId="0" fillId="0" borderId="12" xfId="0" applyNumberFormat="1" applyFont="1" applyFill="1" applyBorder="1" applyAlignment="1" applyProtection="1">
      <alignment horizontal="right"/>
    </xf>
    <xf numFmtId="165" fontId="0" fillId="0" borderId="35" xfId="0" applyNumberFormat="1" applyFont="1" applyBorder="1" applyAlignment="1" applyProtection="1">
      <alignment horizontal="right"/>
      <protection locked="0"/>
    </xf>
    <xf numFmtId="10" fontId="5" fillId="0" borderId="12" xfId="0" applyNumberFormat="1" applyFont="1" applyFill="1" applyBorder="1" applyProtection="1"/>
    <xf numFmtId="0" fontId="3" fillId="0" borderId="39" xfId="0" applyFont="1" applyFill="1" applyBorder="1" applyAlignment="1" applyProtection="1">
      <alignment horizontal="center"/>
    </xf>
    <xf numFmtId="0" fontId="3" fillId="4" borderId="40" xfId="0" applyFont="1" applyFill="1" applyBorder="1" applyProtection="1"/>
    <xf numFmtId="165" fontId="3" fillId="4" borderId="1" xfId="0" applyNumberFormat="1" applyFont="1" applyFill="1" applyBorder="1" applyAlignment="1" applyProtection="1">
      <alignment horizontal="right"/>
    </xf>
    <xf numFmtId="165" fontId="3" fillId="4" borderId="10" xfId="0" applyNumberFormat="1" applyFont="1" applyFill="1" applyBorder="1" applyAlignment="1" applyProtection="1">
      <alignment horizontal="right"/>
    </xf>
    <xf numFmtId="165" fontId="3" fillId="4" borderId="11" xfId="0" applyNumberFormat="1" applyFont="1" applyFill="1" applyBorder="1" applyAlignment="1" applyProtection="1">
      <alignment horizontal="right"/>
    </xf>
    <xf numFmtId="165" fontId="3" fillId="4" borderId="6" xfId="0" applyNumberFormat="1" applyFont="1" applyFill="1" applyBorder="1" applyAlignment="1" applyProtection="1">
      <alignment horizontal="right"/>
    </xf>
    <xf numFmtId="10" fontId="5" fillId="4" borderId="39" xfId="0" applyNumberFormat="1" applyFont="1" applyFill="1" applyBorder="1" applyProtection="1"/>
    <xf numFmtId="0" fontId="0" fillId="5" borderId="41" xfId="0" applyFill="1" applyBorder="1" applyAlignment="1" applyProtection="1">
      <alignment horizontal="center"/>
    </xf>
    <xf numFmtId="0" fontId="3" fillId="5" borderId="40" xfId="0" applyFont="1" applyFill="1" applyBorder="1" applyProtection="1"/>
    <xf numFmtId="0" fontId="12" fillId="0" borderId="19" xfId="0" applyFont="1" applyBorder="1" applyAlignment="1" applyProtection="1">
      <alignment horizontal="center"/>
    </xf>
    <xf numFmtId="0" fontId="12" fillId="0" borderId="4" xfId="0" applyFont="1" applyBorder="1" applyAlignment="1" applyProtection="1">
      <alignment horizontal="center"/>
    </xf>
    <xf numFmtId="0" fontId="12" fillId="0" borderId="43" xfId="0" applyFont="1" applyBorder="1" applyAlignment="1" applyProtection="1">
      <alignment horizontal="center"/>
    </xf>
    <xf numFmtId="0" fontId="0" fillId="0" borderId="23" xfId="0" applyBorder="1" applyProtection="1"/>
    <xf numFmtId="165" fontId="0" fillId="0" borderId="45" xfId="0" applyNumberFormat="1" applyFont="1" applyBorder="1" applyProtection="1">
      <protection locked="0"/>
    </xf>
    <xf numFmtId="165" fontId="0" fillId="0" borderId="46" xfId="0" applyNumberFormat="1" applyFont="1" applyBorder="1" applyProtection="1">
      <protection locked="0"/>
    </xf>
    <xf numFmtId="165" fontId="0" fillId="0" borderId="47" xfId="0" applyNumberFormat="1" applyFont="1" applyFill="1" applyBorder="1" applyAlignment="1" applyProtection="1">
      <alignment horizontal="right"/>
    </xf>
    <xf numFmtId="165" fontId="0" fillId="0" borderId="22" xfId="0" applyNumberFormat="1" applyFont="1" applyBorder="1" applyProtection="1">
      <protection locked="0"/>
    </xf>
    <xf numFmtId="0" fontId="0" fillId="0" borderId="29" xfId="0" applyFill="1" applyBorder="1" applyProtection="1"/>
    <xf numFmtId="165" fontId="0" fillId="0" borderId="48" xfId="0" applyNumberFormat="1" applyFont="1" applyFill="1" applyBorder="1" applyProtection="1">
      <protection locked="0"/>
    </xf>
    <xf numFmtId="165" fontId="0" fillId="0" borderId="49" xfId="0" applyNumberFormat="1" applyFont="1" applyBorder="1" applyProtection="1">
      <protection locked="0"/>
    </xf>
    <xf numFmtId="165" fontId="0" fillId="0" borderId="49" xfId="0" applyNumberFormat="1" applyFont="1" applyFill="1" applyBorder="1" applyProtection="1">
      <protection locked="0"/>
    </xf>
    <xf numFmtId="165" fontId="0" fillId="0" borderId="28" xfId="0" applyNumberFormat="1" applyFont="1" applyFill="1" applyBorder="1" applyProtection="1">
      <protection locked="0"/>
    </xf>
    <xf numFmtId="165" fontId="0" fillId="0" borderId="48" xfId="0" applyNumberFormat="1" applyFont="1" applyBorder="1" applyProtection="1">
      <protection locked="0"/>
    </xf>
    <xf numFmtId="165" fontId="0" fillId="0" borderId="28" xfId="0" applyNumberFormat="1" applyFont="1" applyBorder="1" applyProtection="1">
      <protection locked="0"/>
    </xf>
    <xf numFmtId="0" fontId="5" fillId="0" borderId="29" xfId="0" applyFont="1" applyBorder="1" applyAlignment="1" applyProtection="1">
      <alignment horizontal="left" indent="5"/>
    </xf>
    <xf numFmtId="0" fontId="0" fillId="0" borderId="36" xfId="0" applyFill="1" applyBorder="1" applyAlignment="1" applyProtection="1">
      <alignment horizontal="center"/>
    </xf>
    <xf numFmtId="0" fontId="0" fillId="0" borderId="50" xfId="0" applyBorder="1" applyProtection="1"/>
    <xf numFmtId="165" fontId="0" fillId="0" borderId="51" xfId="0" applyNumberFormat="1" applyFont="1" applyBorder="1" applyProtection="1">
      <protection locked="0"/>
    </xf>
    <xf numFmtId="165" fontId="0" fillId="0" borderId="52" xfId="0" applyNumberFormat="1" applyFont="1" applyBorder="1" applyProtection="1">
      <protection locked="0"/>
    </xf>
    <xf numFmtId="165" fontId="0" fillId="0" borderId="36" xfId="0" applyNumberFormat="1" applyFont="1" applyBorder="1" applyProtection="1">
      <protection locked="0"/>
    </xf>
    <xf numFmtId="0" fontId="3" fillId="9" borderId="14" xfId="0" applyFont="1" applyFill="1" applyBorder="1" applyProtection="1"/>
    <xf numFmtId="165" fontId="3" fillId="9" borderId="19" xfId="0" applyNumberFormat="1" applyFont="1" applyFill="1" applyBorder="1" applyProtection="1"/>
    <xf numFmtId="165" fontId="0" fillId="9" borderId="46" xfId="0" applyNumberFormat="1" applyFont="1" applyFill="1" applyBorder="1" applyProtection="1">
      <protection locked="0"/>
    </xf>
    <xf numFmtId="165" fontId="3" fillId="9" borderId="16" xfId="0" applyNumberFormat="1" applyFont="1" applyFill="1" applyBorder="1" applyProtection="1"/>
    <xf numFmtId="165" fontId="3" fillId="9" borderId="39" xfId="0" applyNumberFormat="1" applyFont="1" applyFill="1" applyBorder="1" applyProtection="1"/>
    <xf numFmtId="10" fontId="5" fillId="9" borderId="39" xfId="0" applyNumberFormat="1" applyFont="1" applyFill="1" applyBorder="1" applyProtection="1"/>
    <xf numFmtId="0" fontId="6" fillId="0" borderId="53" xfId="0" applyFont="1" applyFill="1" applyBorder="1" applyAlignment="1" applyProtection="1">
      <alignment horizontal="center"/>
    </xf>
    <xf numFmtId="0" fontId="6" fillId="10" borderId="53" xfId="0" applyFont="1" applyFill="1" applyBorder="1" applyAlignment="1" applyProtection="1">
      <alignment horizontal="left"/>
    </xf>
    <xf numFmtId="166" fontId="6" fillId="10" borderId="53" xfId="0" applyNumberFormat="1" applyFont="1" applyFill="1" applyBorder="1" applyAlignment="1" applyProtection="1"/>
    <xf numFmtId="166" fontId="13" fillId="11" borderId="53" xfId="0" applyNumberFormat="1" applyFont="1" applyFill="1" applyBorder="1" applyAlignment="1" applyProtection="1"/>
    <xf numFmtId="166" fontId="13" fillId="11" borderId="6" xfId="0" applyNumberFormat="1" applyFont="1" applyFill="1" applyBorder="1" applyAlignment="1" applyProtection="1"/>
    <xf numFmtId="10" fontId="1" fillId="11" borderId="27" xfId="0" applyNumberFormat="1" applyFont="1" applyFill="1" applyBorder="1" applyProtection="1"/>
    <xf numFmtId="0" fontId="14" fillId="0" borderId="14" xfId="0" applyFont="1" applyFill="1" applyBorder="1" applyAlignment="1" applyProtection="1">
      <alignment horizontal="center"/>
    </xf>
    <xf numFmtId="0" fontId="14" fillId="0" borderId="14" xfId="0" applyFont="1" applyBorder="1" applyProtection="1"/>
    <xf numFmtId="165" fontId="15" fillId="5" borderId="19" xfId="0" applyNumberFormat="1" applyFont="1" applyFill="1" applyBorder="1" applyAlignment="1" applyProtection="1">
      <alignment horizontal="center"/>
    </xf>
    <xf numFmtId="165" fontId="15" fillId="5" borderId="4" xfId="0" applyNumberFormat="1" applyFont="1" applyFill="1" applyBorder="1" applyProtection="1"/>
    <xf numFmtId="0" fontId="14" fillId="5" borderId="4" xfId="0" applyFont="1" applyFill="1" applyBorder="1" applyProtection="1"/>
    <xf numFmtId="165" fontId="15" fillId="5" borderId="43" xfId="0" applyNumberFormat="1" applyFont="1" applyFill="1" applyBorder="1" applyProtection="1"/>
    <xf numFmtId="166" fontId="14" fillId="12" borderId="39" xfId="0" applyNumberFormat="1" applyFont="1" applyFill="1" applyBorder="1" applyProtection="1"/>
    <xf numFmtId="165" fontId="15" fillId="5" borderId="5" xfId="0" applyNumberFormat="1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165" fontId="3" fillId="2" borderId="0" xfId="0" applyNumberFormat="1" applyFont="1" applyFill="1" applyBorder="1" applyAlignment="1" applyProtection="1">
      <alignment horizontal="center"/>
    </xf>
    <xf numFmtId="165" fontId="3" fillId="2" borderId="0" xfId="0" applyNumberFormat="1" applyFont="1" applyFill="1" applyBorder="1" applyProtection="1"/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Border="1" applyAlignment="1" applyProtection="1">
      <alignment horizontal="center"/>
    </xf>
    <xf numFmtId="165" fontId="3" fillId="5" borderId="19" xfId="0" applyNumberFormat="1" applyFont="1" applyFill="1" applyBorder="1" applyProtection="1">
      <protection locked="0"/>
    </xf>
    <xf numFmtId="165" fontId="3" fillId="5" borderId="4" xfId="0" applyNumberFormat="1" applyFont="1" applyFill="1" applyBorder="1" applyProtection="1"/>
    <xf numFmtId="165" fontId="3" fillId="5" borderId="5" xfId="0" applyNumberFormat="1" applyFont="1" applyFill="1" applyBorder="1" applyProtection="1"/>
    <xf numFmtId="165" fontId="15" fillId="2" borderId="0" xfId="0" applyNumberFormat="1" applyFont="1" applyFill="1" applyBorder="1" applyAlignment="1" applyProtection="1">
      <alignment horizontal="right"/>
    </xf>
    <xf numFmtId="165" fontId="3" fillId="0" borderId="17" xfId="0" applyNumberFormat="1" applyFont="1" applyFill="1" applyBorder="1" applyProtection="1">
      <protection locked="0"/>
    </xf>
    <xf numFmtId="165" fontId="3" fillId="0" borderId="55" xfId="0" applyNumberFormat="1" applyFont="1" applyFill="1" applyBorder="1" applyProtection="1">
      <protection locked="0"/>
    </xf>
    <xf numFmtId="165" fontId="3" fillId="0" borderId="20" xfId="0" applyNumberFormat="1" applyFont="1" applyFill="1" applyBorder="1" applyProtection="1">
      <protection locked="0"/>
    </xf>
    <xf numFmtId="165" fontId="3" fillId="2" borderId="0" xfId="0" applyNumberFormat="1" applyFont="1" applyFill="1" applyBorder="1" applyProtection="1">
      <protection locked="0"/>
    </xf>
    <xf numFmtId="165" fontId="16" fillId="5" borderId="19" xfId="0" applyNumberFormat="1" applyFont="1" applyFill="1" applyBorder="1" applyAlignment="1" applyProtection="1">
      <alignment horizontal="center" wrapText="1"/>
      <protection locked="0"/>
    </xf>
    <xf numFmtId="165" fontId="16" fillId="5" borderId="5" xfId="0" applyNumberFormat="1" applyFont="1" applyFill="1" applyBorder="1" applyAlignment="1" applyProtection="1">
      <alignment horizontal="center" wrapText="1"/>
    </xf>
    <xf numFmtId="165" fontId="16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/>
    </xf>
    <xf numFmtId="165" fontId="3" fillId="0" borderId="44" xfId="0" applyNumberFormat="1" applyFont="1" applyFill="1" applyBorder="1" applyProtection="1">
      <protection locked="0"/>
    </xf>
    <xf numFmtId="165" fontId="3" fillId="2" borderId="0" xfId="0" applyNumberFormat="1" applyFont="1" applyFill="1" applyBorder="1" applyAlignment="1" applyProtection="1">
      <alignment horizontal="right"/>
      <protection locked="0"/>
    </xf>
    <xf numFmtId="0" fontId="3" fillId="13" borderId="30" xfId="0" applyFont="1" applyFill="1" applyBorder="1" applyProtection="1"/>
    <xf numFmtId="165" fontId="3" fillId="13" borderId="30" xfId="0" applyNumberFormat="1" applyFont="1" applyFill="1" applyBorder="1" applyAlignment="1" applyProtection="1">
      <alignment horizontal="center"/>
    </xf>
    <xf numFmtId="0" fontId="3" fillId="0" borderId="30" xfId="0" applyFont="1" applyFill="1" applyBorder="1" applyProtection="1"/>
    <xf numFmtId="165" fontId="9" fillId="0" borderId="30" xfId="0" applyNumberFormat="1" applyFont="1" applyFill="1" applyBorder="1" applyAlignment="1" applyProtection="1">
      <alignment horizontal="right"/>
      <protection locked="0"/>
    </xf>
    <xf numFmtId="165" fontId="9" fillId="0" borderId="30" xfId="0" applyNumberFormat="1" applyFont="1" applyFill="1" applyBorder="1" applyProtection="1"/>
    <xf numFmtId="165" fontId="3" fillId="0" borderId="30" xfId="0" applyNumberFormat="1" applyFont="1" applyFill="1" applyBorder="1" applyProtection="1"/>
    <xf numFmtId="165" fontId="3" fillId="0" borderId="30" xfId="0" applyNumberFormat="1" applyFont="1" applyFill="1" applyBorder="1" applyAlignment="1" applyProtection="1">
      <alignment horizontal="right"/>
      <protection locked="0"/>
    </xf>
    <xf numFmtId="0" fontId="9" fillId="0" borderId="30" xfId="0" applyFont="1" applyFill="1" applyBorder="1" applyProtection="1"/>
    <xf numFmtId="165" fontId="3" fillId="0" borderId="30" xfId="0" applyNumberFormat="1" applyFont="1" applyFill="1" applyBorder="1" applyProtection="1">
      <protection locked="0"/>
    </xf>
    <xf numFmtId="0" fontId="3" fillId="13" borderId="37" xfId="0" applyFont="1" applyFill="1" applyBorder="1" applyAlignment="1" applyProtection="1">
      <alignment horizontal="left"/>
    </xf>
    <xf numFmtId="0" fontId="3" fillId="13" borderId="56" xfId="0" applyFont="1" applyFill="1" applyBorder="1" applyAlignment="1" applyProtection="1">
      <alignment horizontal="left"/>
    </xf>
    <xf numFmtId="0" fontId="0" fillId="0" borderId="56" xfId="0" applyFill="1" applyBorder="1"/>
    <xf numFmtId="0" fontId="0" fillId="0" borderId="51" xfId="0" applyFill="1" applyBorder="1"/>
    <xf numFmtId="0" fontId="0" fillId="0" borderId="13" xfId="0" applyFill="1" applyBorder="1"/>
    <xf numFmtId="0" fontId="0" fillId="0" borderId="57" xfId="0" applyFill="1" applyBorder="1"/>
    <xf numFmtId="0" fontId="3" fillId="0" borderId="13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18" fillId="0" borderId="13" xfId="1" applyFont="1" applyBorder="1" applyProtection="1"/>
    <xf numFmtId="0" fontId="0" fillId="0" borderId="0" xfId="0" applyBorder="1"/>
    <xf numFmtId="0" fontId="18" fillId="0" borderId="13" xfId="1" applyFont="1" applyFill="1" applyBorder="1" applyProtection="1"/>
    <xf numFmtId="0" fontId="18" fillId="0" borderId="0" xfId="1" applyFont="1" applyFill="1" applyBorder="1" applyProtection="1"/>
    <xf numFmtId="0" fontId="18" fillId="0" borderId="0" xfId="1" applyFont="1" applyBorder="1" applyProtection="1"/>
    <xf numFmtId="0" fontId="18" fillId="0" borderId="0" xfId="0" applyFont="1" applyFill="1" applyBorder="1"/>
    <xf numFmtId="0" fontId="18" fillId="0" borderId="26" xfId="1" applyFont="1" applyBorder="1" applyProtection="1"/>
    <xf numFmtId="0" fontId="18" fillId="0" borderId="58" xfId="0" applyFont="1" applyFill="1" applyBorder="1"/>
    <xf numFmtId="0" fontId="18" fillId="0" borderId="58" xfId="1" applyFont="1" applyBorder="1" applyProtection="1"/>
    <xf numFmtId="0" fontId="3" fillId="0" borderId="58" xfId="0" applyFont="1" applyFill="1" applyBorder="1" applyAlignment="1" applyProtection="1">
      <alignment horizontal="left"/>
      <protection locked="0"/>
    </xf>
    <xf numFmtId="0" fontId="0" fillId="0" borderId="58" xfId="0" applyFill="1" applyBorder="1"/>
    <xf numFmtId="0" fontId="0" fillId="0" borderId="59" xfId="0" applyFill="1" applyBorder="1"/>
    <xf numFmtId="0" fontId="18" fillId="2" borderId="0" xfId="1" applyFont="1" applyFill="1" applyBorder="1" applyProtection="1"/>
    <xf numFmtId="0" fontId="18" fillId="2" borderId="0" xfId="0" applyFont="1" applyFill="1" applyBorder="1"/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</xf>
    <xf numFmtId="14" fontId="3" fillId="14" borderId="0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14" borderId="0" xfId="0" applyFont="1" applyFill="1" applyBorder="1" applyAlignment="1" applyProtection="1">
      <alignment horizontal="left"/>
    </xf>
    <xf numFmtId="10" fontId="0" fillId="0" borderId="0" xfId="0" applyNumberFormat="1" applyFont="1"/>
    <xf numFmtId="0" fontId="3" fillId="0" borderId="0" xfId="0" applyFont="1" applyFill="1" applyAlignment="1" applyProtection="1">
      <alignment horizontal="left"/>
      <protection locked="0"/>
    </xf>
    <xf numFmtId="0" fontId="0" fillId="0" borderId="48" xfId="0" applyFont="1" applyBorder="1" applyProtection="1">
      <protection locked="0"/>
    </xf>
    <xf numFmtId="0" fontId="0" fillId="0" borderId="28" xfId="0" applyFont="1" applyBorder="1" applyProtection="1">
      <protection locked="0"/>
    </xf>
    <xf numFmtId="4" fontId="0" fillId="0" borderId="28" xfId="0" applyNumberFormat="1" applyFont="1" applyBorder="1" applyProtection="1">
      <protection locked="0"/>
    </xf>
    <xf numFmtId="0" fontId="0" fillId="0" borderId="36" xfId="0" applyFont="1" applyBorder="1" applyProtection="1">
      <protection locked="0"/>
    </xf>
    <xf numFmtId="4" fontId="0" fillId="2" borderId="0" xfId="0" applyNumberFormat="1" applyFont="1" applyFill="1" applyProtection="1"/>
    <xf numFmtId="165" fontId="0" fillId="2" borderId="0" xfId="0" applyNumberFormat="1" applyFill="1"/>
    <xf numFmtId="4" fontId="0" fillId="0" borderId="22" xfId="0" applyNumberFormat="1" applyFont="1" applyBorder="1" applyProtection="1">
      <protection locked="0"/>
    </xf>
    <xf numFmtId="4" fontId="5" fillId="0" borderId="28" xfId="0" applyNumberFormat="1" applyFont="1" applyFill="1" applyBorder="1" applyProtection="1">
      <protection locked="0"/>
    </xf>
    <xf numFmtId="165" fontId="5" fillId="0" borderId="48" xfId="0" applyNumberFormat="1" applyFont="1" applyFill="1" applyBorder="1" applyProtection="1">
      <protection locked="0"/>
    </xf>
    <xf numFmtId="165" fontId="5" fillId="0" borderId="49" xfId="0" applyNumberFormat="1" applyFont="1" applyBorder="1" applyProtection="1">
      <protection locked="0"/>
    </xf>
    <xf numFmtId="165" fontId="5" fillId="0" borderId="49" xfId="0" applyNumberFormat="1" applyFont="1" applyFill="1" applyBorder="1" applyProtection="1">
      <protection locked="0"/>
    </xf>
    <xf numFmtId="165" fontId="5" fillId="0" borderId="27" xfId="0" applyNumberFormat="1" applyFont="1" applyFill="1" applyBorder="1" applyAlignment="1" applyProtection="1">
      <alignment horizontal="right"/>
    </xf>
    <xf numFmtId="4" fontId="5" fillId="0" borderId="28" xfId="0" applyNumberFormat="1" applyFont="1" applyBorder="1" applyProtection="1">
      <protection locked="0"/>
    </xf>
    <xf numFmtId="165" fontId="5" fillId="0" borderId="48" xfId="0" applyNumberFormat="1" applyFont="1" applyBorder="1" applyProtection="1">
      <protection locked="0"/>
    </xf>
    <xf numFmtId="4" fontId="5" fillId="0" borderId="48" xfId="0" applyNumberFormat="1" applyFont="1" applyBorder="1" applyProtection="1">
      <protection locked="0"/>
    </xf>
    <xf numFmtId="0" fontId="5" fillId="0" borderId="48" xfId="0" applyFont="1" applyBorder="1" applyProtection="1">
      <protection locked="0"/>
    </xf>
    <xf numFmtId="165" fontId="0" fillId="0" borderId="51" xfId="0" applyNumberFormat="1" applyFont="1" applyFill="1" applyBorder="1" applyProtection="1">
      <protection locked="0"/>
    </xf>
    <xf numFmtId="4" fontId="5" fillId="0" borderId="36" xfId="0" applyNumberFormat="1" applyFont="1" applyBorder="1" applyProtection="1">
      <protection locked="0"/>
    </xf>
    <xf numFmtId="165" fontId="5" fillId="0" borderId="51" xfId="0" applyNumberFormat="1" applyFont="1" applyBorder="1" applyProtection="1">
      <protection locked="0"/>
    </xf>
    <xf numFmtId="165" fontId="5" fillId="0" borderId="52" xfId="0" applyNumberFormat="1" applyFont="1" applyBorder="1" applyProtection="1">
      <protection locked="0"/>
    </xf>
    <xf numFmtId="165" fontId="5" fillId="0" borderId="12" xfId="0" applyNumberFormat="1" applyFont="1" applyFill="1" applyBorder="1" applyAlignment="1" applyProtection="1">
      <alignment horizontal="right"/>
    </xf>
    <xf numFmtId="165" fontId="9" fillId="13" borderId="30" xfId="0" applyNumberFormat="1" applyFont="1" applyFill="1" applyBorder="1" applyAlignment="1" applyProtection="1">
      <alignment horizontal="center"/>
    </xf>
    <xf numFmtId="3" fontId="3" fillId="0" borderId="30" xfId="0" applyNumberFormat="1" applyFont="1" applyFill="1" applyBorder="1" applyAlignment="1" applyProtection="1">
      <alignment horizontal="right"/>
      <protection locked="0"/>
    </xf>
    <xf numFmtId="0" fontId="19" fillId="2" borderId="0" xfId="0" applyFont="1" applyFill="1" applyProtection="1"/>
    <xf numFmtId="0" fontId="3" fillId="0" borderId="13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14" borderId="0" xfId="0" applyFont="1" applyFill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165" fontId="0" fillId="0" borderId="2" xfId="0" applyNumberFormat="1" applyFont="1" applyBorder="1" applyAlignment="1" applyProtection="1">
      <alignment horizontal="center" vertical="center"/>
    </xf>
    <xf numFmtId="165" fontId="0" fillId="0" borderId="20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11" fillId="0" borderId="42" xfId="0" applyFont="1" applyFill="1" applyBorder="1" applyAlignment="1" applyProtection="1">
      <alignment horizontal="center" vertical="center"/>
    </xf>
    <xf numFmtId="0" fontId="11" fillId="0" borderId="4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wrapText="1"/>
    </xf>
    <xf numFmtId="0" fontId="3" fillId="0" borderId="7" xfId="0" applyFont="1" applyFill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13" borderId="41" xfId="0" applyFont="1" applyFill="1" applyBorder="1" applyAlignment="1" applyProtection="1">
      <alignment horizontal="left" vertical="center"/>
    </xf>
    <xf numFmtId="0" fontId="3" fillId="13" borderId="54" xfId="0" applyFont="1" applyFill="1" applyBorder="1" applyAlignment="1" applyProtection="1">
      <alignment horizontal="left" vertical="center"/>
    </xf>
    <xf numFmtId="0" fontId="3" fillId="13" borderId="21" xfId="0" applyFont="1" applyFill="1" applyBorder="1" applyAlignment="1" applyProtection="1">
      <alignment horizontal="left" vertical="center"/>
    </xf>
    <xf numFmtId="165" fontId="3" fillId="0" borderId="56" xfId="0" applyNumberFormat="1" applyFont="1" applyFill="1" applyBorder="1" applyAlignment="1" applyProtection="1">
      <alignment horizontal="left"/>
      <protection locked="0"/>
    </xf>
    <xf numFmtId="165" fontId="9" fillId="9" borderId="14" xfId="0" applyNumberFormat="1" applyFont="1" applyFill="1" applyBorder="1" applyAlignment="1" applyProtection="1">
      <alignment horizontal="center"/>
    </xf>
    <xf numFmtId="165" fontId="9" fillId="9" borderId="15" xfId="0" applyNumberFormat="1" applyFont="1" applyFill="1" applyBorder="1" applyAlignment="1" applyProtection="1">
      <alignment horizontal="center"/>
    </xf>
    <xf numFmtId="165" fontId="9" fillId="9" borderId="40" xfId="0" applyNumberFormat="1" applyFont="1" applyFill="1" applyBorder="1" applyAlignment="1" applyProtection="1">
      <alignment horizontal="center"/>
    </xf>
    <xf numFmtId="165" fontId="9" fillId="9" borderId="42" xfId="0" applyNumberFormat="1" applyFont="1" applyFill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 vertical="center"/>
    </xf>
    <xf numFmtId="165" fontId="0" fillId="0" borderId="20" xfId="0" applyNumberForma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10" fontId="10" fillId="0" borderId="6" xfId="0" applyNumberFormat="1" applyFont="1" applyFill="1" applyBorder="1" applyAlignment="1" applyProtection="1">
      <alignment horizontal="center" vertical="center" wrapText="1"/>
    </xf>
    <xf numFmtId="10" fontId="10" fillId="0" borderId="12" xfId="0" applyNumberFormat="1" applyFont="1" applyFill="1" applyBorder="1" applyAlignment="1" applyProtection="1">
      <alignment horizontal="center" vertical="center" wrapText="1"/>
    </xf>
    <xf numFmtId="10" fontId="10" fillId="0" borderId="21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10" fontId="3" fillId="0" borderId="6" xfId="0" applyNumberFormat="1" applyFont="1" applyBorder="1" applyAlignment="1" applyProtection="1">
      <alignment horizontal="center" vertical="center" wrapText="1"/>
    </xf>
    <xf numFmtId="10" fontId="3" fillId="0" borderId="12" xfId="0" applyNumberFormat="1" applyFont="1" applyBorder="1" applyAlignment="1" applyProtection="1">
      <alignment horizontal="center" vertical="center" wrapText="1"/>
    </xf>
    <xf numFmtId="10" fontId="3" fillId="0" borderId="21" xfId="0" applyNumberFormat="1" applyFont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</cellXfs>
  <cellStyles count="2">
    <cellStyle name="Normální" xfId="0" builtinId="0"/>
    <cellStyle name="normální_Tabulka školy, návrh rozpočtu" xfId="1"/>
  </cellStyles>
  <dxfs count="20"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h\Documents\TSMCH\Rozbory\Rozbory%20n&#225;klad&#367;%20a%20v&#253;nos&#367;%20-%20hlavn&#237;%20&#269;innost%20-%20pl&#225;n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h\Documents\TSMCH\Pl&#225;n%202019\Podkladov&#233;%20tabulky%20PO%20-%20R2019%20SVR2020-2021%20-%20TSmCh%20-%20po%20&#250;prav&#283;%20mez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h\Documents\TSMCH\Rozbory%20hospoda&#345;en&#237;\Rozbor%20hospoda&#345;en&#237;%202019\Vyhodnocen&#237;%20hospoda&#345;en&#237;%20podle%20rozpo&#269;tu%20za%201.%20pololet&#237;%202019%20-%20TSMCH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h\Documents\TSMCH\Rozbory\Rozbory%20n&#225;klad&#367;%20a%20v&#253;nos&#367;%20-%20hlavn&#237;%20&#269;innost%20-%20pl&#225;n%202020%20-%20upraven&#25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h\Documents\TSMCH\V&#253;ro&#269;n&#237;%20zpr&#225;va\V&#253;ro&#269;n&#237;%20zpr&#225;va%202018\Vyhodnocen&#237;%20v&#253;nos&#367;%20a%20n&#225;klad&#367;%20TSmCh%20za%20rok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h\Documents\TSMCH\V&#253;ro&#269;n&#237;%20zpr&#225;va\V&#253;ro&#269;n&#237;%20zpr&#225;va%202018\V&#253;ro&#269;n&#237;%20rozbor%20PO%20-%20TSmCh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án 2020"/>
      <sheetName val="Vyhod. hosp. PO -střediska"/>
      <sheetName val="HČ - PLÁN 2020"/>
      <sheetName val="101"/>
      <sheetName val="102"/>
      <sheetName val="103"/>
      <sheetName val="104"/>
      <sheetName val="105"/>
      <sheetName val="108"/>
      <sheetName val="200"/>
      <sheetName val="201"/>
      <sheetName val="202"/>
      <sheetName val="204"/>
      <sheetName val="205"/>
      <sheetName val="206"/>
      <sheetName val="208+209"/>
      <sheetName val="210"/>
      <sheetName val="211"/>
      <sheetName val="Rozbory"/>
      <sheetName val="HČ - SKUT 2016"/>
      <sheetName val="HČ - SKUT 2015"/>
      <sheetName val="HČ - SKUT 2014"/>
      <sheetName val="HČ - SKUT 2013"/>
      <sheetName val="HČ - SKUT 2012"/>
      <sheetName val="HČ - SKUT 2011"/>
      <sheetName val="pomocné 203+211"/>
      <sheetName val="Měsíční náklady"/>
      <sheetName val="Výnosy bez střediska"/>
      <sheetName val="10104"/>
      <sheetName val="203"/>
      <sheetName val="1090204"/>
      <sheetName val="1100206"/>
      <sheetName val="310210"/>
    </sheetNames>
    <sheetDataSet>
      <sheetData sheetId="0">
        <row r="15">
          <cell r="F15">
            <v>14419887.290000001</v>
          </cell>
          <cell r="H15">
            <v>14441048.589999998</v>
          </cell>
          <cell r="T15">
            <v>15050000</v>
          </cell>
        </row>
        <row r="16">
          <cell r="D16">
            <v>120461000</v>
          </cell>
          <cell r="F16">
            <v>0</v>
          </cell>
          <cell r="H16">
            <v>0</v>
          </cell>
          <cell r="T16">
            <v>0</v>
          </cell>
        </row>
        <row r="17">
          <cell r="F17">
            <v>0</v>
          </cell>
          <cell r="H17">
            <v>0</v>
          </cell>
          <cell r="T17">
            <v>0</v>
          </cell>
        </row>
        <row r="18">
          <cell r="E18">
            <v>988254</v>
          </cell>
          <cell r="F18">
            <v>0</v>
          </cell>
          <cell r="H18">
            <v>0</v>
          </cell>
          <cell r="T18">
            <v>0</v>
          </cell>
        </row>
        <row r="19">
          <cell r="F19">
            <v>0</v>
          </cell>
          <cell r="H19">
            <v>0</v>
          </cell>
          <cell r="T19">
            <v>0</v>
          </cell>
        </row>
        <row r="20">
          <cell r="F20">
            <v>0</v>
          </cell>
          <cell r="H20">
            <v>0</v>
          </cell>
          <cell r="T20">
            <v>0</v>
          </cell>
        </row>
        <row r="21">
          <cell r="F21">
            <v>2741534.16</v>
          </cell>
          <cell r="H21">
            <v>12301.37</v>
          </cell>
          <cell r="T21">
            <v>6000</v>
          </cell>
        </row>
        <row r="22">
          <cell r="F22">
            <v>0</v>
          </cell>
          <cell r="H22">
            <v>0</v>
          </cell>
          <cell r="T22">
            <v>0</v>
          </cell>
        </row>
        <row r="23">
          <cell r="F23">
            <v>0</v>
          </cell>
          <cell r="H23">
            <v>0</v>
          </cell>
          <cell r="T23">
            <v>0</v>
          </cell>
        </row>
        <row r="28">
          <cell r="D28">
            <v>4317264.6403270233</v>
          </cell>
          <cell r="E28">
            <v>0</v>
          </cell>
          <cell r="F28">
            <v>650475.6896729765</v>
          </cell>
          <cell r="H28">
            <v>22338.870000000003</v>
          </cell>
          <cell r="T28">
            <v>38000</v>
          </cell>
        </row>
        <row r="29">
          <cell r="D29">
            <v>10242576.069475535</v>
          </cell>
          <cell r="E29">
            <v>0</v>
          </cell>
          <cell r="F29">
            <v>1543233.3405244646</v>
          </cell>
          <cell r="H29">
            <v>2327500.81</v>
          </cell>
          <cell r="T29">
            <v>2407500</v>
          </cell>
        </row>
        <row r="30">
          <cell r="D30">
            <v>7900432.1739481129</v>
          </cell>
          <cell r="E30">
            <v>0</v>
          </cell>
          <cell r="F30">
            <v>1190346.086051885</v>
          </cell>
          <cell r="H30">
            <v>53939.41</v>
          </cell>
          <cell r="T30">
            <v>65000</v>
          </cell>
        </row>
        <row r="31">
          <cell r="D31">
            <v>26480881.626467392</v>
          </cell>
          <cell r="E31">
            <v>0</v>
          </cell>
          <cell r="F31">
            <v>3989834.1135326046</v>
          </cell>
          <cell r="H31">
            <v>3946598.0500000003</v>
          </cell>
          <cell r="T31">
            <v>4296180</v>
          </cell>
        </row>
        <row r="32">
          <cell r="D32">
            <v>40138795.633797742</v>
          </cell>
          <cell r="E32">
            <v>988254</v>
          </cell>
          <cell r="F32">
            <v>6196549.9462022558</v>
          </cell>
          <cell r="H32">
            <v>2653082.42</v>
          </cell>
          <cell r="T32">
            <v>2711000</v>
          </cell>
        </row>
        <row r="33">
          <cell r="D33">
            <v>39547812.206871517</v>
          </cell>
          <cell r="E33">
            <v>988254</v>
          </cell>
          <cell r="F33">
            <v>6107507.3731284831</v>
          </cell>
          <cell r="H33">
            <v>2653082.42</v>
          </cell>
          <cell r="T33">
            <v>2711000</v>
          </cell>
        </row>
        <row r="34">
          <cell r="D34">
            <v>590983.4269262267</v>
          </cell>
          <cell r="E34">
            <v>0</v>
          </cell>
          <cell r="F34">
            <v>89042.573073773267</v>
          </cell>
          <cell r="H34">
            <v>0</v>
          </cell>
          <cell r="T34">
            <v>0</v>
          </cell>
        </row>
        <row r="35">
          <cell r="D35">
            <v>14795868.527845848</v>
          </cell>
          <cell r="E35">
            <v>0</v>
          </cell>
          <cell r="F35">
            <v>2229270.9821541519</v>
          </cell>
          <cell r="H35">
            <v>959914.48</v>
          </cell>
          <cell r="T35">
            <v>978838</v>
          </cell>
        </row>
        <row r="36">
          <cell r="D36">
            <v>65945.892751653853</v>
          </cell>
          <cell r="E36">
            <v>0</v>
          </cell>
          <cell r="F36">
            <v>9935.96724834614</v>
          </cell>
          <cell r="H36">
            <v>358684</v>
          </cell>
          <cell r="T36">
            <v>360100</v>
          </cell>
        </row>
        <row r="37">
          <cell r="D37">
            <v>9187233.1502037998</v>
          </cell>
          <cell r="E37">
            <v>0</v>
          </cell>
          <cell r="F37">
            <v>1384226.4297961995</v>
          </cell>
          <cell r="H37">
            <v>1139539.4200000002</v>
          </cell>
          <cell r="T37">
            <v>1288200</v>
          </cell>
        </row>
        <row r="38">
          <cell r="D38">
            <v>7214836.3263785858</v>
          </cell>
          <cell r="E38">
            <v>0</v>
          </cell>
          <cell r="F38">
            <v>1087048.4036214338</v>
          </cell>
          <cell r="H38">
            <v>1855637.2400000005</v>
          </cell>
          <cell r="T38">
            <v>1840182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19"/>
      <sheetName val="SVR 2020-2021"/>
    </sheetNames>
    <sheetDataSet>
      <sheetData sheetId="0">
        <row r="15">
          <cell r="X15">
            <v>15250000</v>
          </cell>
          <cell r="Z15">
            <v>14487000</v>
          </cell>
        </row>
        <row r="16">
          <cell r="V16">
            <v>127400000</v>
          </cell>
          <cell r="Z16">
            <v>0</v>
          </cell>
        </row>
        <row r="17">
          <cell r="Z17">
            <v>0</v>
          </cell>
        </row>
        <row r="18">
          <cell r="W18">
            <v>1510000</v>
          </cell>
          <cell r="Z18">
            <v>0</v>
          </cell>
        </row>
        <row r="19">
          <cell r="X19">
            <v>921792</v>
          </cell>
          <cell r="Z19">
            <v>0</v>
          </cell>
        </row>
        <row r="20">
          <cell r="X20">
            <v>0</v>
          </cell>
          <cell r="Z20">
            <v>0</v>
          </cell>
        </row>
        <row r="21">
          <cell r="X21">
            <v>0</v>
          </cell>
          <cell r="Z21">
            <v>0</v>
          </cell>
        </row>
        <row r="22">
          <cell r="X22">
            <v>0</v>
          </cell>
          <cell r="Z22">
            <v>0</v>
          </cell>
        </row>
        <row r="23">
          <cell r="X23">
            <v>0</v>
          </cell>
          <cell r="Z23">
            <v>0</v>
          </cell>
        </row>
        <row r="28">
          <cell r="V28">
            <v>2429715.2000000002</v>
          </cell>
          <cell r="W28">
            <v>0</v>
          </cell>
          <cell r="X28">
            <v>331324.79999999999</v>
          </cell>
          <cell r="Z28">
            <v>25500</v>
          </cell>
        </row>
        <row r="29">
          <cell r="V29">
            <v>9631025.9800000004</v>
          </cell>
          <cell r="W29">
            <v>0</v>
          </cell>
          <cell r="X29">
            <v>1269648</v>
          </cell>
          <cell r="Z29">
            <v>2025500</v>
          </cell>
        </row>
        <row r="30">
          <cell r="V30">
            <v>7717277</v>
          </cell>
          <cell r="W30">
            <v>0</v>
          </cell>
          <cell r="X30">
            <v>973740</v>
          </cell>
          <cell r="Z30">
            <v>44000</v>
          </cell>
        </row>
        <row r="31">
          <cell r="V31">
            <v>26883658.670000002</v>
          </cell>
          <cell r="W31">
            <v>0</v>
          </cell>
          <cell r="X31">
            <v>3657851.5</v>
          </cell>
          <cell r="Z31">
            <v>3858400</v>
          </cell>
        </row>
        <row r="32">
          <cell r="V32">
            <v>47214454.68</v>
          </cell>
          <cell r="W32">
            <v>1510000</v>
          </cell>
          <cell r="X32">
            <v>5863695.0999999996</v>
          </cell>
          <cell r="Z32">
            <v>2740259.1</v>
          </cell>
        </row>
        <row r="33">
          <cell r="V33">
            <v>46521310.539999999</v>
          </cell>
          <cell r="W33">
            <v>1510000</v>
          </cell>
          <cell r="X33">
            <v>5769175.4000000004</v>
          </cell>
          <cell r="Z33">
            <v>2737037.6</v>
          </cell>
        </row>
        <row r="34">
          <cell r="V34">
            <v>693144.14</v>
          </cell>
          <cell r="W34">
            <v>0</v>
          </cell>
          <cell r="X34">
            <v>94519.7</v>
          </cell>
          <cell r="Z34">
            <v>15000</v>
          </cell>
        </row>
        <row r="35">
          <cell r="V35">
            <v>17586259.380000003</v>
          </cell>
          <cell r="W35">
            <v>0</v>
          </cell>
          <cell r="X35">
            <v>2236280.1</v>
          </cell>
          <cell r="Z35">
            <v>985753.5</v>
          </cell>
        </row>
        <row r="36">
          <cell r="V36">
            <v>122848</v>
          </cell>
          <cell r="W36">
            <v>0</v>
          </cell>
          <cell r="X36">
            <v>16752</v>
          </cell>
          <cell r="Z36">
            <v>338500</v>
          </cell>
        </row>
        <row r="37">
          <cell r="V37">
            <v>9860208</v>
          </cell>
          <cell r="W37">
            <v>0</v>
          </cell>
          <cell r="X37">
            <v>921792</v>
          </cell>
          <cell r="Z37">
            <v>1501500</v>
          </cell>
        </row>
        <row r="38">
          <cell r="V38">
            <v>6602140.4900000002</v>
          </cell>
          <cell r="W38">
            <v>0</v>
          </cell>
          <cell r="X38">
            <v>900708.5</v>
          </cell>
          <cell r="Z38">
            <v>2320000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yhodnocení hosp. 1.pol. 2019"/>
    </sheetNames>
    <sheetDataSet>
      <sheetData sheetId="0">
        <row r="15">
          <cell r="R15">
            <v>8646871.8999999985</v>
          </cell>
          <cell r="T15">
            <v>6920786.8299999991</v>
          </cell>
        </row>
        <row r="16">
          <cell r="P16">
            <v>63200000</v>
          </cell>
          <cell r="T16">
            <v>0</v>
          </cell>
        </row>
        <row r="17">
          <cell r="T17">
            <v>0</v>
          </cell>
        </row>
        <row r="18">
          <cell r="Q18">
            <v>77500</v>
          </cell>
          <cell r="T18">
            <v>0</v>
          </cell>
        </row>
        <row r="19">
          <cell r="R19">
            <v>0</v>
          </cell>
          <cell r="T19">
            <v>0</v>
          </cell>
        </row>
        <row r="20">
          <cell r="R20">
            <v>1063.25</v>
          </cell>
          <cell r="T20">
            <v>0</v>
          </cell>
        </row>
        <row r="21">
          <cell r="R21">
            <v>1344126.7799999998</v>
          </cell>
          <cell r="T21">
            <v>4825.01</v>
          </cell>
        </row>
        <row r="22">
          <cell r="R22">
            <v>0</v>
          </cell>
          <cell r="T22">
            <v>0</v>
          </cell>
        </row>
        <row r="23">
          <cell r="R23">
            <v>0</v>
          </cell>
          <cell r="T23">
            <v>0</v>
          </cell>
        </row>
        <row r="28">
          <cell r="P28">
            <v>2275359.5669546262</v>
          </cell>
          <cell r="Q28">
            <v>0</v>
          </cell>
          <cell r="R28">
            <v>362529.6530453735</v>
          </cell>
          <cell r="T28">
            <v>20915.780000000002</v>
          </cell>
        </row>
        <row r="29">
          <cell r="P29">
            <v>6230880.1845459584</v>
          </cell>
          <cell r="Q29">
            <v>0</v>
          </cell>
          <cell r="R29">
            <v>992756.86545404117</v>
          </cell>
          <cell r="T29">
            <v>1170678.2899999998</v>
          </cell>
        </row>
        <row r="30">
          <cell r="P30">
            <v>3722320.0732189771</v>
          </cell>
          <cell r="Q30">
            <v>0</v>
          </cell>
          <cell r="R30">
            <v>593071.71678102296</v>
          </cell>
          <cell r="T30">
            <v>37149.770000000004</v>
          </cell>
        </row>
        <row r="31">
          <cell r="P31">
            <v>14141389.171971535</v>
          </cell>
          <cell r="Q31">
            <v>0</v>
          </cell>
          <cell r="R31">
            <v>2253126.4880284634</v>
          </cell>
          <cell r="T31">
            <v>2011804.0700000003</v>
          </cell>
        </row>
        <row r="32">
          <cell r="P32">
            <v>20847091.915326603</v>
          </cell>
          <cell r="Q32">
            <v>77500</v>
          </cell>
          <cell r="R32">
            <v>3333884.0846733968</v>
          </cell>
          <cell r="T32">
            <v>1279875</v>
          </cell>
        </row>
        <row r="33">
          <cell r="P33">
            <v>20463958.924483567</v>
          </cell>
          <cell r="Q33">
            <v>77500</v>
          </cell>
          <cell r="R33">
            <v>3272840.0755164335</v>
          </cell>
          <cell r="T33">
            <v>1279875</v>
          </cell>
        </row>
        <row r="34">
          <cell r="P34">
            <v>383132.99084303668</v>
          </cell>
          <cell r="Q34">
            <v>0</v>
          </cell>
          <cell r="R34">
            <v>61044.009156963337</v>
          </cell>
          <cell r="T34">
            <v>0</v>
          </cell>
        </row>
        <row r="35">
          <cell r="P35">
            <v>7496276.4164024796</v>
          </cell>
          <cell r="Q35">
            <v>0</v>
          </cell>
          <cell r="R35">
            <v>1194370.5635975203</v>
          </cell>
          <cell r="T35">
            <v>466218.48</v>
          </cell>
        </row>
        <row r="36">
          <cell r="P36">
            <v>51577.787835151044</v>
          </cell>
          <cell r="Q36">
            <v>0</v>
          </cell>
          <cell r="R36">
            <v>8217.8121648489614</v>
          </cell>
          <cell r="T36">
            <v>3000</v>
          </cell>
        </row>
        <row r="37">
          <cell r="P37">
            <v>5388258.5632650303</v>
          </cell>
          <cell r="Q37">
            <v>0</v>
          </cell>
          <cell r="R37">
            <v>858503.21673496964</v>
          </cell>
          <cell r="T37">
            <v>600987.22</v>
          </cell>
        </row>
        <row r="38">
          <cell r="P38">
            <v>4846447.9170661876</v>
          </cell>
          <cell r="Q38">
            <v>0</v>
          </cell>
          <cell r="R38">
            <v>772177.33293382137</v>
          </cell>
          <cell r="T38">
            <v>923083.84000000008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án 2020"/>
      <sheetName val="HČ - PLÁN 2020"/>
      <sheetName val="101"/>
      <sheetName val="102"/>
      <sheetName val="103"/>
      <sheetName val="104"/>
      <sheetName val="105"/>
      <sheetName val="108"/>
      <sheetName val="200"/>
      <sheetName val="201"/>
      <sheetName val="202"/>
      <sheetName val="204"/>
      <sheetName val="205"/>
      <sheetName val="206"/>
      <sheetName val="208+209"/>
      <sheetName val="210"/>
      <sheetName val="211"/>
      <sheetName val="Rozbory"/>
      <sheetName val="HČ - SKUT 2016"/>
      <sheetName val="HČ - SKUT 2015"/>
      <sheetName val="HČ - SKUT 2014"/>
      <sheetName val="HČ - SKUT 2013"/>
      <sheetName val="HČ - SKUT 2012"/>
      <sheetName val="HČ - SKUT 2011"/>
      <sheetName val="pomocné 203+211"/>
      <sheetName val="Měsíční náklady"/>
      <sheetName val="Výnosy bez střediska"/>
      <sheetName val="10104"/>
      <sheetName val="203"/>
      <sheetName val="1090204"/>
      <sheetName val="1100206"/>
      <sheetName val="310210"/>
    </sheetNames>
    <sheetDataSet>
      <sheetData sheetId="0">
        <row r="15">
          <cell r="R15">
            <v>16230000</v>
          </cell>
        </row>
        <row r="16">
          <cell r="P16">
            <v>134038000</v>
          </cell>
        </row>
        <row r="18">
          <cell r="Q18">
            <v>1261073</v>
          </cell>
        </row>
        <row r="19">
          <cell r="R19">
            <v>0</v>
          </cell>
        </row>
        <row r="20">
          <cell r="R20">
            <v>0</v>
          </cell>
        </row>
        <row r="21">
          <cell r="R21">
            <v>1396342</v>
          </cell>
        </row>
        <row r="22">
          <cell r="R22">
            <v>625000</v>
          </cell>
        </row>
        <row r="23">
          <cell r="R23">
            <v>0</v>
          </cell>
        </row>
        <row r="28">
          <cell r="P28">
            <v>2722735.6968463352</v>
          </cell>
          <cell r="Q28">
            <v>0</v>
          </cell>
          <cell r="R28">
            <v>383663.13315366482</v>
          </cell>
        </row>
        <row r="29">
          <cell r="P29">
            <v>9518710.0195216071</v>
          </cell>
          <cell r="Q29">
            <v>0</v>
          </cell>
          <cell r="R29">
            <v>1341289.980478392</v>
          </cell>
        </row>
        <row r="30">
          <cell r="P30">
            <v>7675446.0074540256</v>
          </cell>
          <cell r="Q30">
            <v>0</v>
          </cell>
          <cell r="R30">
            <v>1081553.9925459742</v>
          </cell>
        </row>
        <row r="31">
          <cell r="P31">
            <v>25698764.067437712</v>
          </cell>
          <cell r="Q31">
            <v>0</v>
          </cell>
          <cell r="R31">
            <v>3621235.9325622888</v>
          </cell>
        </row>
        <row r="32">
          <cell r="P32">
            <v>51600269.728187494</v>
          </cell>
          <cell r="Q32">
            <v>450000</v>
          </cell>
          <cell r="R32">
            <v>7334450.2694624998</v>
          </cell>
        </row>
        <row r="33">
          <cell r="P33">
            <v>50903458.083112016</v>
          </cell>
          <cell r="Q33">
            <v>450000</v>
          </cell>
          <cell r="R33">
            <v>7236261.9145379765</v>
          </cell>
        </row>
        <row r="34">
          <cell r="P34">
            <v>696811.64507547684</v>
          </cell>
          <cell r="Q34">
            <v>0</v>
          </cell>
          <cell r="R34">
            <v>98188.35492452317</v>
          </cell>
        </row>
        <row r="35">
          <cell r="P35">
            <v>18633996.562691126</v>
          </cell>
          <cell r="Q35">
            <v>0</v>
          </cell>
          <cell r="R35">
            <v>2625733.1964675752</v>
          </cell>
        </row>
        <row r="36">
          <cell r="P36">
            <v>64071.611641531264</v>
          </cell>
          <cell r="Q36">
            <v>0</v>
          </cell>
          <cell r="R36">
            <v>9028.3883584687355</v>
          </cell>
        </row>
        <row r="37">
          <cell r="P37">
            <v>12299966.649153771</v>
          </cell>
          <cell r="Q37">
            <v>0</v>
          </cell>
          <cell r="R37">
            <v>1733199.350846228</v>
          </cell>
        </row>
        <row r="38">
          <cell r="P38">
            <v>6312763.2684331294</v>
          </cell>
          <cell r="Q38">
            <v>0</v>
          </cell>
          <cell r="R38">
            <v>889537.14355371543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47">
          <cell r="D47">
            <v>3427.2</v>
          </cell>
        </row>
        <row r="49">
          <cell r="D49">
            <v>11711</v>
          </cell>
        </row>
        <row r="50">
          <cell r="D50">
            <v>5000</v>
          </cell>
        </row>
        <row r="57">
          <cell r="D57">
            <v>15830.3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roční rozbor"/>
      <sheetName val="List3"/>
    </sheetNames>
    <sheetDataSet>
      <sheetData sheetId="0">
        <row r="11">
          <cell r="AI11">
            <v>985.91</v>
          </cell>
        </row>
        <row r="35">
          <cell r="AI35">
            <v>983.55</v>
          </cell>
        </row>
        <row r="40">
          <cell r="Z40">
            <v>154.93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276"/>
  <sheetViews>
    <sheetView showGridLines="0" tabSelected="1" zoomScale="80" zoomScaleNormal="80" zoomScaleSheetLayoutView="80" workbookViewId="0">
      <selection activeCell="L94" sqref="L94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customWidth="1"/>
    <col min="6" max="6" width="16.85546875" customWidth="1"/>
    <col min="7" max="7" width="21.28515625" customWidth="1"/>
    <col min="8" max="9" width="11.28515625" customWidth="1"/>
    <col min="10" max="10" width="16.140625" customWidth="1"/>
    <col min="11" max="11" width="17.85546875" customWidth="1"/>
    <col min="12" max="12" width="13.7109375" customWidth="1"/>
    <col min="13" max="13" width="23.42578125" style="160" customWidth="1"/>
    <col min="14" max="14" width="13.28515625" customWidth="1"/>
    <col min="15" max="15" width="11.28515625" customWidth="1"/>
    <col min="16" max="18" width="16.42578125" customWidth="1"/>
    <col min="19" max="19" width="19.28515625" customWidth="1"/>
    <col min="20" max="20" width="11" customWidth="1"/>
    <col min="21" max="21" width="10.7109375" customWidth="1"/>
    <col min="22" max="22" width="16.140625" bestFit="1" customWidth="1"/>
    <col min="23" max="23" width="14.140625" bestFit="1" customWidth="1"/>
    <col min="24" max="24" width="13.140625" bestFit="1" customWidth="1"/>
    <col min="25" max="25" width="19.28515625" bestFit="1" customWidth="1"/>
    <col min="26" max="26" width="11" bestFit="1" customWidth="1"/>
    <col min="27" max="27" width="14.85546875" customWidth="1"/>
    <col min="28" max="28" width="17.7109375" customWidth="1"/>
    <col min="29" max="29" width="5.85546875" customWidth="1"/>
    <col min="30" max="30" width="0" hidden="1" customWidth="1"/>
    <col min="31" max="16384" width="9.140625" style="4" hidden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1"/>
      <c r="B2" s="5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1"/>
      <c r="B4" s="1" t="s">
        <v>1</v>
      </c>
      <c r="C4" s="1"/>
      <c r="D4" s="232" t="s">
        <v>2</v>
      </c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1"/>
      <c r="B6" s="1" t="s">
        <v>3</v>
      </c>
      <c r="C6" s="1"/>
      <c r="D6" s="6">
        <v>360589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1"/>
      <c r="B7" s="1"/>
      <c r="C7" s="1"/>
      <c r="D7" s="7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1"/>
      <c r="B8" s="1" t="s">
        <v>4</v>
      </c>
      <c r="C8" s="1"/>
      <c r="D8" s="233" t="s">
        <v>5</v>
      </c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1"/>
      <c r="B10" s="234" t="s">
        <v>6</v>
      </c>
      <c r="C10" s="199" t="s">
        <v>7</v>
      </c>
      <c r="D10" s="220" t="s">
        <v>8</v>
      </c>
      <c r="E10" s="221"/>
      <c r="F10" s="221"/>
      <c r="G10" s="221"/>
      <c r="H10" s="221"/>
      <c r="I10" s="222"/>
      <c r="J10" s="220" t="s">
        <v>9</v>
      </c>
      <c r="K10" s="221"/>
      <c r="L10" s="221"/>
      <c r="M10" s="221"/>
      <c r="N10" s="221"/>
      <c r="O10" s="222"/>
      <c r="P10" s="220" t="s">
        <v>10</v>
      </c>
      <c r="Q10" s="221"/>
      <c r="R10" s="221"/>
      <c r="S10" s="221"/>
      <c r="T10" s="221"/>
      <c r="U10" s="222"/>
      <c r="V10" s="220" t="s">
        <v>11</v>
      </c>
      <c r="W10" s="221"/>
      <c r="X10" s="221"/>
      <c r="Y10" s="221"/>
      <c r="Z10" s="221"/>
      <c r="AA10" s="222"/>
      <c r="AB10" s="223" t="s">
        <v>12</v>
      </c>
      <c r="AC10" s="3"/>
      <c r="AD10" s="3"/>
    </row>
    <row r="11" spans="1:30" ht="30.75" customHeight="1" thickBot="1" x14ac:dyDescent="0.3">
      <c r="A11" s="1"/>
      <c r="B11" s="235"/>
      <c r="C11" s="200"/>
      <c r="D11" s="226" t="s">
        <v>13</v>
      </c>
      <c r="E11" s="227"/>
      <c r="F11" s="227"/>
      <c r="G11" s="228"/>
      <c r="H11" s="8" t="s">
        <v>14</v>
      </c>
      <c r="I11" s="8" t="s">
        <v>15</v>
      </c>
      <c r="J11" s="226" t="s">
        <v>13</v>
      </c>
      <c r="K11" s="227"/>
      <c r="L11" s="227"/>
      <c r="M11" s="228"/>
      <c r="N11" s="8" t="s">
        <v>14</v>
      </c>
      <c r="O11" s="8" t="s">
        <v>15</v>
      </c>
      <c r="P11" s="226" t="s">
        <v>13</v>
      </c>
      <c r="Q11" s="227"/>
      <c r="R11" s="227"/>
      <c r="S11" s="228"/>
      <c r="T11" s="8" t="s">
        <v>14</v>
      </c>
      <c r="U11" s="8" t="s">
        <v>15</v>
      </c>
      <c r="V11" s="226" t="s">
        <v>13</v>
      </c>
      <c r="W11" s="227"/>
      <c r="X11" s="227"/>
      <c r="Y11" s="228"/>
      <c r="Z11" s="8" t="s">
        <v>14</v>
      </c>
      <c r="AA11" s="8" t="s">
        <v>15</v>
      </c>
      <c r="AB11" s="224"/>
      <c r="AC11" s="3"/>
      <c r="AD11" s="3"/>
    </row>
    <row r="12" spans="1:30" ht="15.75" customHeight="1" thickBot="1" x14ac:dyDescent="0.3">
      <c r="A12" s="1"/>
      <c r="B12" s="235"/>
      <c r="C12" s="237"/>
      <c r="D12" s="229" t="s">
        <v>16</v>
      </c>
      <c r="E12" s="230"/>
      <c r="F12" s="230"/>
      <c r="G12" s="230"/>
      <c r="H12" s="230"/>
      <c r="I12" s="231"/>
      <c r="J12" s="229" t="s">
        <v>16</v>
      </c>
      <c r="K12" s="230"/>
      <c r="L12" s="230"/>
      <c r="M12" s="230"/>
      <c r="N12" s="230"/>
      <c r="O12" s="231"/>
      <c r="P12" s="229" t="s">
        <v>16</v>
      </c>
      <c r="Q12" s="230"/>
      <c r="R12" s="230"/>
      <c r="S12" s="230"/>
      <c r="T12" s="230"/>
      <c r="U12" s="231"/>
      <c r="V12" s="229" t="s">
        <v>16</v>
      </c>
      <c r="W12" s="230"/>
      <c r="X12" s="230"/>
      <c r="Y12" s="230"/>
      <c r="Z12" s="230"/>
      <c r="AA12" s="231"/>
      <c r="AB12" s="224"/>
      <c r="AC12" s="3"/>
      <c r="AD12" s="3"/>
    </row>
    <row r="13" spans="1:30" ht="15.75" customHeight="1" thickBot="1" x14ac:dyDescent="0.3">
      <c r="A13" s="1"/>
      <c r="B13" s="236"/>
      <c r="C13" s="238"/>
      <c r="D13" s="215" t="s">
        <v>17</v>
      </c>
      <c r="E13" s="216"/>
      <c r="F13" s="216"/>
      <c r="G13" s="209" t="s">
        <v>18</v>
      </c>
      <c r="H13" s="211" t="s">
        <v>19</v>
      </c>
      <c r="I13" s="213" t="s">
        <v>16</v>
      </c>
      <c r="J13" s="215" t="s">
        <v>17</v>
      </c>
      <c r="K13" s="216"/>
      <c r="L13" s="216"/>
      <c r="M13" s="209" t="s">
        <v>18</v>
      </c>
      <c r="N13" s="211" t="s">
        <v>19</v>
      </c>
      <c r="O13" s="213" t="s">
        <v>16</v>
      </c>
      <c r="P13" s="215" t="s">
        <v>17</v>
      </c>
      <c r="Q13" s="216"/>
      <c r="R13" s="216"/>
      <c r="S13" s="209" t="s">
        <v>18</v>
      </c>
      <c r="T13" s="211" t="s">
        <v>19</v>
      </c>
      <c r="U13" s="213" t="s">
        <v>16</v>
      </c>
      <c r="V13" s="215" t="s">
        <v>17</v>
      </c>
      <c r="W13" s="216"/>
      <c r="X13" s="216"/>
      <c r="Y13" s="209" t="s">
        <v>18</v>
      </c>
      <c r="Z13" s="211" t="s">
        <v>19</v>
      </c>
      <c r="AA13" s="213" t="s">
        <v>16</v>
      </c>
      <c r="AB13" s="224"/>
      <c r="AC13" s="3"/>
      <c r="AD13" s="3"/>
    </row>
    <row r="14" spans="1:30" ht="15.75" thickBot="1" x14ac:dyDescent="0.3">
      <c r="A14" s="1"/>
      <c r="B14" s="9"/>
      <c r="C14" s="10"/>
      <c r="D14" s="11" t="s">
        <v>20</v>
      </c>
      <c r="E14" s="12" t="s">
        <v>21</v>
      </c>
      <c r="F14" s="12" t="s">
        <v>22</v>
      </c>
      <c r="G14" s="210"/>
      <c r="H14" s="212"/>
      <c r="I14" s="214"/>
      <c r="J14" s="11" t="s">
        <v>20</v>
      </c>
      <c r="K14" s="12" t="s">
        <v>21</v>
      </c>
      <c r="L14" s="12" t="s">
        <v>22</v>
      </c>
      <c r="M14" s="210"/>
      <c r="N14" s="212"/>
      <c r="O14" s="214"/>
      <c r="P14" s="11" t="s">
        <v>20</v>
      </c>
      <c r="Q14" s="12" t="s">
        <v>21</v>
      </c>
      <c r="R14" s="12" t="s">
        <v>22</v>
      </c>
      <c r="S14" s="210"/>
      <c r="T14" s="212"/>
      <c r="U14" s="214"/>
      <c r="V14" s="11" t="s">
        <v>20</v>
      </c>
      <c r="W14" s="12" t="s">
        <v>21</v>
      </c>
      <c r="X14" s="12" t="s">
        <v>22</v>
      </c>
      <c r="Y14" s="210"/>
      <c r="Z14" s="212"/>
      <c r="AA14" s="214"/>
      <c r="AB14" s="225"/>
      <c r="AC14" s="3"/>
      <c r="AD14" s="3"/>
    </row>
    <row r="15" spans="1:30" x14ac:dyDescent="0.25">
      <c r="A15" s="1"/>
      <c r="B15" s="13" t="s">
        <v>23</v>
      </c>
      <c r="C15" s="14" t="s">
        <v>24</v>
      </c>
      <c r="E15" s="15"/>
      <c r="F15" s="16">
        <v>2719.1</v>
      </c>
      <c r="G15" s="17">
        <f>SUM(E15:F15)</f>
        <v>2719.1</v>
      </c>
      <c r="H15" s="18">
        <v>0.5</v>
      </c>
      <c r="I15" s="19">
        <f>G15+H15</f>
        <v>2719.6</v>
      </c>
      <c r="J15" s="16"/>
      <c r="K15" s="15"/>
      <c r="L15" s="20">
        <v>2308</v>
      </c>
      <c r="M15" s="17">
        <f t="shared" ref="M15:M23" si="0">SUM(J15:L15)</f>
        <v>2308</v>
      </c>
      <c r="N15" s="18">
        <v>10</v>
      </c>
      <c r="O15" s="19">
        <f>M15+N15</f>
        <v>2318</v>
      </c>
      <c r="P15" s="16"/>
      <c r="Q15" s="15"/>
      <c r="R15" s="20">
        <v>1388.1</v>
      </c>
      <c r="S15" s="17">
        <f>SUM(P15:R15)</f>
        <v>1388.1</v>
      </c>
      <c r="T15" s="18"/>
      <c r="U15" s="19">
        <f>S15+T15</f>
        <v>1388.1</v>
      </c>
      <c r="V15" s="16"/>
      <c r="W15" s="15"/>
      <c r="X15" s="20">
        <v>2850</v>
      </c>
      <c r="Y15" s="17">
        <f>SUM(V15:X15)</f>
        <v>2850</v>
      </c>
      <c r="Z15" s="18"/>
      <c r="AA15" s="19">
        <f>Y15+Z15</f>
        <v>2850</v>
      </c>
      <c r="AB15" s="21">
        <f>(AA15/O15)</f>
        <v>1.2295081967213115</v>
      </c>
      <c r="AC15" s="3"/>
      <c r="AD15" s="3"/>
    </row>
    <row r="16" spans="1:30" x14ac:dyDescent="0.25">
      <c r="A16" s="1"/>
      <c r="B16" s="22" t="s">
        <v>25</v>
      </c>
      <c r="C16" s="23" t="s">
        <v>26</v>
      </c>
      <c r="D16" s="24">
        <v>21080.1</v>
      </c>
      <c r="E16" s="25"/>
      <c r="F16" s="25"/>
      <c r="G16" s="26">
        <f t="shared" ref="G16:G22" si="1">SUM(D16:F16)</f>
        <v>21080.1</v>
      </c>
      <c r="H16" s="27"/>
      <c r="I16" s="19">
        <f t="shared" ref="I16:I23" si="2">G16+H16</f>
        <v>21080.1</v>
      </c>
      <c r="J16" s="24">
        <v>24536</v>
      </c>
      <c r="K16" s="25"/>
      <c r="L16" s="25"/>
      <c r="M16" s="26">
        <f t="shared" si="0"/>
        <v>24536</v>
      </c>
      <c r="N16" s="27"/>
      <c r="O16" s="19">
        <f t="shared" ref="O16:O20" si="3">M16+N16</f>
        <v>24536</v>
      </c>
      <c r="P16" s="24">
        <v>12268</v>
      </c>
      <c r="Q16" s="25"/>
      <c r="R16" s="25"/>
      <c r="S16" s="26">
        <f t="shared" ref="S16:S23" si="4">SUM(P16:R16)</f>
        <v>12268</v>
      </c>
      <c r="T16" s="27"/>
      <c r="U16" s="19">
        <f t="shared" ref="U16:U20" si="5">S16+T16</f>
        <v>12268</v>
      </c>
      <c r="V16" s="24">
        <f>26586-48</f>
        <v>26538</v>
      </c>
      <c r="W16" s="25"/>
      <c r="X16" s="25"/>
      <c r="Y16" s="26">
        <f t="shared" ref="Y16:Y23" si="6">SUM(V16:X16)</f>
        <v>26538</v>
      </c>
      <c r="Z16" s="27"/>
      <c r="AA16" s="19">
        <f t="shared" ref="AA16:AA20" si="7">Y16+Z16</f>
        <v>26538</v>
      </c>
      <c r="AB16" s="21">
        <f t="shared" ref="AB16:AB24" si="8">(AA16/O16)</f>
        <v>1.0815943919139224</v>
      </c>
      <c r="AC16" s="3"/>
      <c r="AD16" s="3"/>
    </row>
    <row r="17" spans="1:30" x14ac:dyDescent="0.25">
      <c r="A17" s="1"/>
      <c r="B17" s="22" t="s">
        <v>27</v>
      </c>
      <c r="C17" s="28" t="s">
        <v>28</v>
      </c>
      <c r="D17" s="29">
        <v>50.5</v>
      </c>
      <c r="E17" s="30"/>
      <c r="F17" s="30"/>
      <c r="G17" s="26">
        <f t="shared" si="1"/>
        <v>50.5</v>
      </c>
      <c r="H17" s="31"/>
      <c r="I17" s="19">
        <f t="shared" si="2"/>
        <v>50.5</v>
      </c>
      <c r="J17" s="29"/>
      <c r="K17" s="30"/>
      <c r="L17" s="30"/>
      <c r="M17" s="26">
        <f t="shared" si="0"/>
        <v>0</v>
      </c>
      <c r="N17" s="31"/>
      <c r="O17" s="19">
        <f t="shared" si="3"/>
        <v>0</v>
      </c>
      <c r="P17" s="29">
        <v>35.6</v>
      </c>
      <c r="Q17" s="30"/>
      <c r="R17" s="30"/>
      <c r="S17" s="26">
        <f t="shared" si="4"/>
        <v>35.6</v>
      </c>
      <c r="T17" s="31"/>
      <c r="U17" s="19">
        <f t="shared" si="5"/>
        <v>35.6</v>
      </c>
      <c r="V17" s="29">
        <v>48</v>
      </c>
      <c r="W17" s="30"/>
      <c r="X17" s="30"/>
      <c r="Y17" s="26">
        <f t="shared" si="6"/>
        <v>48</v>
      </c>
      <c r="Z17" s="31"/>
      <c r="AA17" s="19">
        <f t="shared" si="7"/>
        <v>48</v>
      </c>
      <c r="AB17" s="21" t="e">
        <f t="shared" si="8"/>
        <v>#DIV/0!</v>
      </c>
      <c r="AC17" s="3"/>
      <c r="AD17" s="3"/>
    </row>
    <row r="18" spans="1:30" x14ac:dyDescent="0.25">
      <c r="A18" s="1"/>
      <c r="B18" s="22" t="s">
        <v>29</v>
      </c>
      <c r="C18" s="32" t="s">
        <v>30</v>
      </c>
      <c r="D18" s="33"/>
      <c r="E18" s="34">
        <v>1426.5</v>
      </c>
      <c r="F18" s="30"/>
      <c r="G18" s="26">
        <f t="shared" si="1"/>
        <v>1426.5</v>
      </c>
      <c r="H18" s="18"/>
      <c r="I18" s="19">
        <f t="shared" si="2"/>
        <v>1426.5</v>
      </c>
      <c r="J18" s="33"/>
      <c r="K18" s="34">
        <v>1000</v>
      </c>
      <c r="L18" s="30"/>
      <c r="M18" s="26">
        <f t="shared" si="0"/>
        <v>1000</v>
      </c>
      <c r="N18" s="18"/>
      <c r="O18" s="19">
        <f t="shared" si="3"/>
        <v>1000</v>
      </c>
      <c r="P18" s="33"/>
      <c r="Q18" s="34">
        <v>1235</v>
      </c>
      <c r="R18" s="30"/>
      <c r="S18" s="26">
        <f t="shared" si="4"/>
        <v>1235</v>
      </c>
      <c r="T18" s="18"/>
      <c r="U18" s="19">
        <f t="shared" si="5"/>
        <v>1235</v>
      </c>
      <c r="V18" s="33"/>
      <c r="W18" s="34">
        <v>1235</v>
      </c>
      <c r="X18" s="30"/>
      <c r="Y18" s="26">
        <f t="shared" si="6"/>
        <v>1235</v>
      </c>
      <c r="Z18" s="18"/>
      <c r="AA18" s="19">
        <f t="shared" si="7"/>
        <v>1235</v>
      </c>
      <c r="AB18" s="21">
        <f t="shared" si="8"/>
        <v>1.2350000000000001</v>
      </c>
      <c r="AC18" s="3"/>
      <c r="AD18" s="3"/>
    </row>
    <row r="19" spans="1:30" x14ac:dyDescent="0.25">
      <c r="A19" s="1"/>
      <c r="B19" s="22" t="s">
        <v>31</v>
      </c>
      <c r="C19" s="35" t="s">
        <v>32</v>
      </c>
      <c r="D19" s="36">
        <v>37.299999999999997</v>
      </c>
      <c r="E19" s="30"/>
      <c r="F19" s="37"/>
      <c r="G19" s="26">
        <f>SUM(D19:F19)</f>
        <v>37.299999999999997</v>
      </c>
      <c r="H19" s="38"/>
      <c r="I19" s="19">
        <f t="shared" si="2"/>
        <v>37.299999999999997</v>
      </c>
      <c r="J19" s="36"/>
      <c r="K19" s="30"/>
      <c r="L19" s="37"/>
      <c r="M19" s="26">
        <f t="shared" si="0"/>
        <v>0</v>
      </c>
      <c r="N19" s="38"/>
      <c r="O19" s="19">
        <f t="shared" si="3"/>
        <v>0</v>
      </c>
      <c r="P19" s="36"/>
      <c r="Q19" s="30"/>
      <c r="R19" s="37"/>
      <c r="S19" s="26">
        <f t="shared" si="4"/>
        <v>0</v>
      </c>
      <c r="T19" s="38"/>
      <c r="U19" s="19">
        <f t="shared" si="5"/>
        <v>0</v>
      </c>
      <c r="V19" s="36"/>
      <c r="W19" s="30"/>
      <c r="X19" s="37"/>
      <c r="Y19" s="26">
        <f t="shared" si="6"/>
        <v>0</v>
      </c>
      <c r="Z19" s="38"/>
      <c r="AA19" s="19">
        <f t="shared" si="7"/>
        <v>0</v>
      </c>
      <c r="AB19" s="21" t="e">
        <f t="shared" si="8"/>
        <v>#DIV/0!</v>
      </c>
      <c r="AC19" s="3"/>
      <c r="AD19" s="3"/>
    </row>
    <row r="20" spans="1:30" x14ac:dyDescent="0.25">
      <c r="A20" s="1"/>
      <c r="B20" s="22" t="s">
        <v>33</v>
      </c>
      <c r="C20" s="39" t="s">
        <v>34</v>
      </c>
      <c r="D20" s="33"/>
      <c r="E20" s="25"/>
      <c r="F20" s="40"/>
      <c r="G20" s="26">
        <f>SUM(D20:F20)</f>
        <v>0</v>
      </c>
      <c r="H20" s="38"/>
      <c r="I20" s="19">
        <f t="shared" si="2"/>
        <v>0</v>
      </c>
      <c r="J20" s="33"/>
      <c r="K20" s="25"/>
      <c r="L20" s="40"/>
      <c r="M20" s="26">
        <v>0</v>
      </c>
      <c r="N20" s="38"/>
      <c r="O20" s="19">
        <f t="shared" si="3"/>
        <v>0</v>
      </c>
      <c r="P20" s="33"/>
      <c r="Q20" s="25"/>
      <c r="R20" s="40"/>
      <c r="S20" s="26">
        <f t="shared" si="4"/>
        <v>0</v>
      </c>
      <c r="T20" s="38"/>
      <c r="U20" s="19">
        <f t="shared" si="5"/>
        <v>0</v>
      </c>
      <c r="V20" s="33"/>
      <c r="W20" s="25"/>
      <c r="X20" s="40"/>
      <c r="Y20" s="26">
        <f t="shared" si="6"/>
        <v>0</v>
      </c>
      <c r="Z20" s="38"/>
      <c r="AA20" s="19">
        <f t="shared" si="7"/>
        <v>0</v>
      </c>
      <c r="AB20" s="21" t="e">
        <f t="shared" si="8"/>
        <v>#DIV/0!</v>
      </c>
      <c r="AC20" s="3"/>
      <c r="AD20" s="3"/>
    </row>
    <row r="21" spans="1:30" x14ac:dyDescent="0.25">
      <c r="A21" s="1"/>
      <c r="B21" s="22" t="s">
        <v>35</v>
      </c>
      <c r="C21" s="41" t="s">
        <v>36</v>
      </c>
      <c r="E21" s="25"/>
      <c r="F21" s="33">
        <v>240.8</v>
      </c>
      <c r="G21" s="26">
        <f>SUM(E21:F21)</f>
        <v>240.8</v>
      </c>
      <c r="H21" s="42"/>
      <c r="I21" s="19">
        <f>G21+H21</f>
        <v>240.8</v>
      </c>
      <c r="J21" s="33"/>
      <c r="K21" s="25"/>
      <c r="L21" s="40">
        <v>130</v>
      </c>
      <c r="M21" s="26">
        <f t="shared" si="0"/>
        <v>130</v>
      </c>
      <c r="N21" s="42"/>
      <c r="O21" s="19">
        <f>M21+N21</f>
        <v>130</v>
      </c>
      <c r="P21" s="33"/>
      <c r="Q21" s="25">
        <v>12.6</v>
      </c>
      <c r="R21" s="40">
        <f>168.3+22.8+1.9+0.1</f>
        <v>193.10000000000002</v>
      </c>
      <c r="S21" s="26">
        <f t="shared" si="4"/>
        <v>205.70000000000002</v>
      </c>
      <c r="T21" s="42"/>
      <c r="U21" s="19">
        <f>S21+T21</f>
        <v>205.70000000000002</v>
      </c>
      <c r="V21" s="33"/>
      <c r="W21" s="25"/>
      <c r="X21" s="40">
        <v>175</v>
      </c>
      <c r="Y21" s="26">
        <f t="shared" si="6"/>
        <v>175</v>
      </c>
      <c r="Z21" s="42"/>
      <c r="AA21" s="19">
        <f>Y21+Z21</f>
        <v>175</v>
      </c>
      <c r="AB21" s="21">
        <f t="shared" si="8"/>
        <v>1.3461538461538463</v>
      </c>
      <c r="AC21" s="3"/>
      <c r="AD21" s="3"/>
    </row>
    <row r="22" spans="1:30" x14ac:dyDescent="0.25">
      <c r="A22" s="1"/>
      <c r="B22" s="22" t="s">
        <v>37</v>
      </c>
      <c r="C22" s="41" t="s">
        <v>38</v>
      </c>
      <c r="D22" s="33"/>
      <c r="E22" s="25"/>
      <c r="F22" s="40">
        <v>188.5</v>
      </c>
      <c r="G22" s="26">
        <f t="shared" si="1"/>
        <v>188.5</v>
      </c>
      <c r="H22" s="42"/>
      <c r="I22" s="19">
        <f t="shared" si="2"/>
        <v>188.5</v>
      </c>
      <c r="J22" s="33"/>
      <c r="K22" s="25"/>
      <c r="L22" s="40">
        <v>140</v>
      </c>
      <c r="M22" s="26">
        <f t="shared" si="0"/>
        <v>140</v>
      </c>
      <c r="N22" s="42"/>
      <c r="O22" s="19">
        <f t="shared" ref="O22:O23" si="9">M22+N22</f>
        <v>140</v>
      </c>
      <c r="P22" s="33"/>
      <c r="Q22" s="25"/>
      <c r="R22" s="40">
        <v>112.9</v>
      </c>
      <c r="S22" s="26">
        <f t="shared" si="4"/>
        <v>112.9</v>
      </c>
      <c r="T22" s="42"/>
      <c r="U22" s="19" t="s">
        <v>39</v>
      </c>
      <c r="V22" s="33"/>
      <c r="W22" s="25"/>
      <c r="X22" s="40">
        <v>640</v>
      </c>
      <c r="Y22" s="26">
        <f t="shared" si="6"/>
        <v>640</v>
      </c>
      <c r="Z22" s="42"/>
      <c r="AA22" s="19">
        <f t="shared" ref="AA22:AA23" si="10">Y22+Z22</f>
        <v>640</v>
      </c>
      <c r="AB22" s="21">
        <f t="shared" si="8"/>
        <v>4.5714285714285712</v>
      </c>
      <c r="AC22" s="3"/>
      <c r="AD22" s="3"/>
    </row>
    <row r="23" spans="1:30" ht="15.75" thickBot="1" x14ac:dyDescent="0.3">
      <c r="A23" s="1"/>
      <c r="B23" s="43" t="s">
        <v>40</v>
      </c>
      <c r="C23" s="44" t="s">
        <v>41</v>
      </c>
      <c r="E23" s="45"/>
      <c r="F23" s="46">
        <v>23.9</v>
      </c>
      <c r="G23" s="47">
        <f>SUM(E23:F23)</f>
        <v>23.9</v>
      </c>
      <c r="H23" s="48"/>
      <c r="I23" s="49">
        <f t="shared" si="2"/>
        <v>23.9</v>
      </c>
      <c r="J23" s="46"/>
      <c r="K23" s="45"/>
      <c r="L23" s="50">
        <v>20</v>
      </c>
      <c r="M23" s="47">
        <f t="shared" si="0"/>
        <v>20</v>
      </c>
      <c r="N23" s="48"/>
      <c r="O23" s="49">
        <f t="shared" si="9"/>
        <v>20</v>
      </c>
      <c r="P23" s="46"/>
      <c r="Q23" s="45"/>
      <c r="R23" s="50">
        <v>13.1</v>
      </c>
      <c r="S23" s="47">
        <f t="shared" si="4"/>
        <v>13.1</v>
      </c>
      <c r="T23" s="48"/>
      <c r="U23" s="49">
        <f t="shared" ref="U23" si="11">S23+T23</f>
        <v>13.1</v>
      </c>
      <c r="V23" s="46"/>
      <c r="W23" s="45"/>
      <c r="X23" s="50">
        <v>25</v>
      </c>
      <c r="Y23" s="47">
        <f t="shared" si="6"/>
        <v>25</v>
      </c>
      <c r="Z23" s="48"/>
      <c r="AA23" s="49">
        <f t="shared" si="10"/>
        <v>25</v>
      </c>
      <c r="AB23" s="51">
        <f t="shared" si="8"/>
        <v>1.25</v>
      </c>
      <c r="AC23" s="3"/>
      <c r="AD23" s="3"/>
    </row>
    <row r="24" spans="1:30" ht="15.75" thickBot="1" x14ac:dyDescent="0.3">
      <c r="A24" s="1"/>
      <c r="B24" s="52" t="s">
        <v>42</v>
      </c>
      <c r="C24" s="53" t="s">
        <v>43</v>
      </c>
      <c r="D24" s="54">
        <f>SUM(D15:D21)</f>
        <v>21167.899999999998</v>
      </c>
      <c r="E24" s="55">
        <f>SUM(E15:E21)</f>
        <v>1426.5</v>
      </c>
      <c r="F24" s="55">
        <f>SUM(F15:F21)</f>
        <v>2959.9</v>
      </c>
      <c r="G24" s="56">
        <f>SUM(D24:F24)</f>
        <v>25554.3</v>
      </c>
      <c r="H24" s="57">
        <f>SUM(H15:H21)</f>
        <v>0.5</v>
      </c>
      <c r="I24" s="57">
        <f>SUM(I15:I21)</f>
        <v>25554.799999999996</v>
      </c>
      <c r="J24" s="54">
        <f>SUM(J15:J21)</f>
        <v>24536</v>
      </c>
      <c r="K24" s="55">
        <f>SUM(K15:K21)</f>
        <v>1000</v>
      </c>
      <c r="L24" s="55">
        <f>SUM(L15:L21)</f>
        <v>2438</v>
      </c>
      <c r="M24" s="56">
        <f>SUM(M15:M23)-M22-M23</f>
        <v>27974</v>
      </c>
      <c r="N24" s="57">
        <f>SUM(N15:N21)</f>
        <v>10</v>
      </c>
      <c r="O24" s="57">
        <f>SUM(O15:O21)</f>
        <v>27984</v>
      </c>
      <c r="P24" s="54">
        <f>SUM(P15:P21)</f>
        <v>12303.6</v>
      </c>
      <c r="Q24" s="55">
        <f>SUM(Q15:Q21)</f>
        <v>1247.5999999999999</v>
      </c>
      <c r="R24" s="55">
        <f>SUM(R15:R21)</f>
        <v>1581.1999999999998</v>
      </c>
      <c r="S24" s="56">
        <f>SUM(P24:R24)</f>
        <v>15132.400000000001</v>
      </c>
      <c r="T24" s="57">
        <f>SUM(T15:T21)</f>
        <v>0</v>
      </c>
      <c r="U24" s="57">
        <f>SUM(U15:U21)</f>
        <v>15132.400000000001</v>
      </c>
      <c r="V24" s="54">
        <f>SUM(V15:V21)</f>
        <v>26586</v>
      </c>
      <c r="W24" s="55">
        <f>SUM(W15:W21)</f>
        <v>1235</v>
      </c>
      <c r="X24" s="55">
        <f>SUM(X15:X21)</f>
        <v>3025</v>
      </c>
      <c r="Y24" s="56">
        <f>SUM(V24:X24)</f>
        <v>30846</v>
      </c>
      <c r="Z24" s="57">
        <f>SUM(Z15:Z21)</f>
        <v>0</v>
      </c>
      <c r="AA24" s="57">
        <f>SUM(AA15:AA21)</f>
        <v>30846</v>
      </c>
      <c r="AB24" s="58">
        <f t="shared" si="8"/>
        <v>1.1022727272727273</v>
      </c>
      <c r="AC24" s="3"/>
      <c r="AD24" s="3"/>
    </row>
    <row r="25" spans="1:30" ht="15.75" customHeight="1" thickBot="1" x14ac:dyDescent="0.3">
      <c r="A25" s="1"/>
      <c r="B25" s="59"/>
      <c r="C25" s="60"/>
      <c r="D25" s="205" t="s">
        <v>44</v>
      </c>
      <c r="E25" s="206"/>
      <c r="F25" s="206"/>
      <c r="G25" s="207"/>
      <c r="H25" s="207"/>
      <c r="I25" s="208"/>
      <c r="J25" s="205" t="s">
        <v>44</v>
      </c>
      <c r="K25" s="206"/>
      <c r="L25" s="206"/>
      <c r="M25" s="207"/>
      <c r="N25" s="207"/>
      <c r="O25" s="208"/>
      <c r="P25" s="205" t="s">
        <v>44</v>
      </c>
      <c r="Q25" s="206"/>
      <c r="R25" s="206"/>
      <c r="S25" s="207"/>
      <c r="T25" s="207"/>
      <c r="U25" s="208"/>
      <c r="V25" s="205" t="s">
        <v>44</v>
      </c>
      <c r="W25" s="206"/>
      <c r="X25" s="206"/>
      <c r="Y25" s="207"/>
      <c r="Z25" s="207"/>
      <c r="AA25" s="208"/>
      <c r="AB25" s="217" t="s">
        <v>45</v>
      </c>
      <c r="AC25" s="3"/>
      <c r="AD25" s="3"/>
    </row>
    <row r="26" spans="1:30" ht="15.75" thickBot="1" x14ac:dyDescent="0.3">
      <c r="A26" s="1"/>
      <c r="B26" s="197" t="s">
        <v>6</v>
      </c>
      <c r="C26" s="199" t="s">
        <v>7</v>
      </c>
      <c r="D26" s="189" t="s">
        <v>46</v>
      </c>
      <c r="E26" s="190"/>
      <c r="F26" s="190"/>
      <c r="G26" s="191" t="s">
        <v>47</v>
      </c>
      <c r="H26" s="193" t="s">
        <v>48</v>
      </c>
      <c r="I26" s="195" t="s">
        <v>44</v>
      </c>
      <c r="J26" s="189" t="s">
        <v>46</v>
      </c>
      <c r="K26" s="190"/>
      <c r="L26" s="190"/>
      <c r="M26" s="191" t="s">
        <v>47</v>
      </c>
      <c r="N26" s="193" t="s">
        <v>48</v>
      </c>
      <c r="O26" s="195" t="s">
        <v>44</v>
      </c>
      <c r="P26" s="189" t="s">
        <v>46</v>
      </c>
      <c r="Q26" s="190"/>
      <c r="R26" s="190"/>
      <c r="S26" s="191" t="s">
        <v>47</v>
      </c>
      <c r="T26" s="193" t="s">
        <v>48</v>
      </c>
      <c r="U26" s="195" t="s">
        <v>44</v>
      </c>
      <c r="V26" s="189" t="s">
        <v>46</v>
      </c>
      <c r="W26" s="190"/>
      <c r="X26" s="190"/>
      <c r="Y26" s="191" t="s">
        <v>47</v>
      </c>
      <c r="Z26" s="193" t="s">
        <v>48</v>
      </c>
      <c r="AA26" s="195" t="s">
        <v>44</v>
      </c>
      <c r="AB26" s="218"/>
      <c r="AC26" s="3"/>
      <c r="AD26" s="3"/>
    </row>
    <row r="27" spans="1:30" ht="15.75" thickBot="1" x14ac:dyDescent="0.3">
      <c r="A27" s="1"/>
      <c r="B27" s="198"/>
      <c r="C27" s="200"/>
      <c r="D27" s="61" t="s">
        <v>49</v>
      </c>
      <c r="E27" s="62" t="s">
        <v>50</v>
      </c>
      <c r="F27" s="63" t="s">
        <v>51</v>
      </c>
      <c r="G27" s="192"/>
      <c r="H27" s="194"/>
      <c r="I27" s="196"/>
      <c r="J27" s="61" t="s">
        <v>49</v>
      </c>
      <c r="K27" s="62" t="s">
        <v>50</v>
      </c>
      <c r="L27" s="63" t="s">
        <v>51</v>
      </c>
      <c r="M27" s="192"/>
      <c r="N27" s="194"/>
      <c r="O27" s="196"/>
      <c r="P27" s="61" t="s">
        <v>49</v>
      </c>
      <c r="Q27" s="62" t="s">
        <v>50</v>
      </c>
      <c r="R27" s="63" t="s">
        <v>51</v>
      </c>
      <c r="S27" s="192"/>
      <c r="T27" s="194"/>
      <c r="U27" s="196"/>
      <c r="V27" s="61" t="s">
        <v>49</v>
      </c>
      <c r="W27" s="62" t="s">
        <v>50</v>
      </c>
      <c r="X27" s="63" t="s">
        <v>51</v>
      </c>
      <c r="Y27" s="192"/>
      <c r="Z27" s="194"/>
      <c r="AA27" s="196"/>
      <c r="AB27" s="219"/>
      <c r="AC27" s="3"/>
      <c r="AD27" s="3"/>
    </row>
    <row r="28" spans="1:30" x14ac:dyDescent="0.25">
      <c r="A28" s="1"/>
      <c r="B28" s="13" t="s">
        <v>52</v>
      </c>
      <c r="C28" s="64" t="s">
        <v>53</v>
      </c>
      <c r="D28" s="65">
        <v>293.7</v>
      </c>
      <c r="E28" s="65"/>
      <c r="F28" s="65"/>
      <c r="G28" s="66">
        <f>SUM(D28:F28)</f>
        <v>293.7</v>
      </c>
      <c r="H28" s="66"/>
      <c r="I28" s="67">
        <f>G28+H28</f>
        <v>293.7</v>
      </c>
      <c r="J28" s="68">
        <v>320</v>
      </c>
      <c r="K28" s="65">
        <v>0</v>
      </c>
      <c r="L28" s="65"/>
      <c r="M28" s="66">
        <f>SUM(J28:L28)</f>
        <v>320</v>
      </c>
      <c r="N28" s="66"/>
      <c r="O28" s="67">
        <f>M28+N28</f>
        <v>320</v>
      </c>
      <c r="P28" s="68">
        <v>67.5</v>
      </c>
      <c r="Q28" s="65">
        <v>0</v>
      </c>
      <c r="R28" s="65">
        <v>0</v>
      </c>
      <c r="S28" s="66">
        <f>SUM(P28:R28)</f>
        <v>67.5</v>
      </c>
      <c r="T28" s="66"/>
      <c r="U28" s="67">
        <f>S28+T28</f>
        <v>67.5</v>
      </c>
      <c r="V28" s="68">
        <v>1500</v>
      </c>
      <c r="W28" s="65">
        <v>0</v>
      </c>
      <c r="X28" s="65"/>
      <c r="Y28" s="66">
        <f>SUM(V28:X28)</f>
        <v>1500</v>
      </c>
      <c r="Z28" s="66"/>
      <c r="AA28" s="67">
        <f>Y28+Z28</f>
        <v>1500</v>
      </c>
      <c r="AB28" s="21">
        <f t="shared" ref="AB28:AB41" si="12">(AA28/O28)</f>
        <v>4.6875</v>
      </c>
      <c r="AC28" s="3"/>
      <c r="AD28" s="3"/>
    </row>
    <row r="29" spans="1:30" x14ac:dyDescent="0.25">
      <c r="A29" s="1"/>
      <c r="B29" s="22" t="s">
        <v>54</v>
      </c>
      <c r="C29" s="69" t="s">
        <v>55</v>
      </c>
      <c r="D29" s="70">
        <v>1095.5</v>
      </c>
      <c r="E29" s="70">
        <v>535</v>
      </c>
      <c r="F29" s="70">
        <v>1500</v>
      </c>
      <c r="G29" s="71">
        <f t="shared" ref="G29:G38" si="13">SUM(D29:F29)</f>
        <v>3130.5</v>
      </c>
      <c r="H29" s="72"/>
      <c r="I29" s="19">
        <f t="shared" ref="I29:I38" si="14">G29+H29</f>
        <v>3130.5</v>
      </c>
      <c r="J29" s="73">
        <v>884</v>
      </c>
      <c r="K29" s="70">
        <v>370</v>
      </c>
      <c r="L29" s="70">
        <v>1600</v>
      </c>
      <c r="M29" s="71">
        <f t="shared" ref="M29:M38" si="15">SUM(J29:L29)</f>
        <v>2854</v>
      </c>
      <c r="N29" s="72"/>
      <c r="O29" s="19">
        <f t="shared" ref="O29:O38" si="16">M29+N29</f>
        <v>2854</v>
      </c>
      <c r="P29" s="73">
        <f>1235.1-R29</f>
        <v>244.99999999999989</v>
      </c>
      <c r="Q29" s="70">
        <v>177.1</v>
      </c>
      <c r="R29" s="70">
        <v>990.1</v>
      </c>
      <c r="S29" s="71">
        <f t="shared" ref="S29:S38" si="17">SUM(P29:R29)</f>
        <v>1412.1999999999998</v>
      </c>
      <c r="T29" s="72"/>
      <c r="U29" s="19">
        <f t="shared" ref="U29:U38" si="18">S29+T29</f>
        <v>1412.1999999999998</v>
      </c>
      <c r="V29" s="73">
        <v>1295</v>
      </c>
      <c r="W29" s="70">
        <v>367</v>
      </c>
      <c r="X29" s="70">
        <v>1600</v>
      </c>
      <c r="Y29" s="71">
        <f t="shared" ref="Y29:Y38" si="19">SUM(V29:X29)</f>
        <v>3262</v>
      </c>
      <c r="Z29" s="72"/>
      <c r="AA29" s="19">
        <f t="shared" ref="AA29:AA38" si="20">Y29+Z29</f>
        <v>3262</v>
      </c>
      <c r="AB29" s="21">
        <f t="shared" si="12"/>
        <v>1.1429572529782761</v>
      </c>
      <c r="AC29" s="3"/>
      <c r="AD29" s="3"/>
    </row>
    <row r="30" spans="1:30" x14ac:dyDescent="0.25">
      <c r="A30" s="1"/>
      <c r="B30" s="22" t="s">
        <v>56</v>
      </c>
      <c r="C30" s="41" t="s">
        <v>57</v>
      </c>
      <c r="D30" s="74">
        <v>1660.5</v>
      </c>
      <c r="E30" s="74">
        <v>4</v>
      </c>
      <c r="F30" s="74"/>
      <c r="G30" s="71">
        <f t="shared" si="13"/>
        <v>1664.5</v>
      </c>
      <c r="H30" s="71"/>
      <c r="I30" s="19">
        <f t="shared" si="14"/>
        <v>1664.5</v>
      </c>
      <c r="J30" s="75">
        <v>1785</v>
      </c>
      <c r="K30" s="74">
        <v>5</v>
      </c>
      <c r="L30" s="74"/>
      <c r="M30" s="71">
        <f t="shared" si="15"/>
        <v>1790</v>
      </c>
      <c r="N30" s="71"/>
      <c r="O30" s="19">
        <f t="shared" si="16"/>
        <v>1790</v>
      </c>
      <c r="P30" s="75">
        <v>943.9</v>
      </c>
      <c r="Q30" s="74">
        <v>0</v>
      </c>
      <c r="R30" s="74">
        <v>0</v>
      </c>
      <c r="S30" s="71">
        <f t="shared" si="17"/>
        <v>943.9</v>
      </c>
      <c r="T30" s="71"/>
      <c r="U30" s="19">
        <f t="shared" si="18"/>
        <v>943.9</v>
      </c>
      <c r="V30" s="75">
        <v>1820</v>
      </c>
      <c r="W30" s="74">
        <v>5</v>
      </c>
      <c r="X30" s="74">
        <v>0</v>
      </c>
      <c r="Y30" s="71">
        <f t="shared" si="19"/>
        <v>1825</v>
      </c>
      <c r="Z30" s="71"/>
      <c r="AA30" s="19">
        <f t="shared" si="20"/>
        <v>1825</v>
      </c>
      <c r="AB30" s="21">
        <f t="shared" si="12"/>
        <v>1.0195530726256983</v>
      </c>
      <c r="AC30" s="3"/>
      <c r="AD30" s="3"/>
    </row>
    <row r="31" spans="1:30" x14ac:dyDescent="0.25">
      <c r="A31" s="1"/>
      <c r="B31" s="22" t="s">
        <v>58</v>
      </c>
      <c r="C31" s="41" t="s">
        <v>59</v>
      </c>
      <c r="D31" s="74">
        <v>1217.0999999999999</v>
      </c>
      <c r="E31" s="74">
        <v>195</v>
      </c>
      <c r="F31" s="74">
        <v>1360.3</v>
      </c>
      <c r="G31" s="71">
        <f t="shared" si="13"/>
        <v>2772.3999999999996</v>
      </c>
      <c r="H31" s="71"/>
      <c r="I31" s="19">
        <f t="shared" si="14"/>
        <v>2772.3999999999996</v>
      </c>
      <c r="J31" s="75">
        <v>2233</v>
      </c>
      <c r="K31" s="74">
        <v>6</v>
      </c>
      <c r="L31" s="74">
        <v>440</v>
      </c>
      <c r="M31" s="71">
        <f t="shared" si="15"/>
        <v>2679</v>
      </c>
      <c r="N31" s="71"/>
      <c r="O31" s="19">
        <f t="shared" si="16"/>
        <v>2679</v>
      </c>
      <c r="P31" s="75">
        <f>973.7-R31</f>
        <v>703.7</v>
      </c>
      <c r="Q31" s="74">
        <v>48.9</v>
      </c>
      <c r="R31" s="74">
        <v>270</v>
      </c>
      <c r="S31" s="71">
        <f t="shared" si="17"/>
        <v>1022.6</v>
      </c>
      <c r="T31" s="71"/>
      <c r="U31" s="19">
        <f t="shared" si="18"/>
        <v>1022.6</v>
      </c>
      <c r="V31" s="75">
        <v>2063</v>
      </c>
      <c r="W31" s="74">
        <v>49</v>
      </c>
      <c r="X31" s="74">
        <v>600</v>
      </c>
      <c r="Y31" s="71">
        <f t="shared" si="19"/>
        <v>2712</v>
      </c>
      <c r="Z31" s="71"/>
      <c r="AA31" s="19">
        <f t="shared" si="20"/>
        <v>2712</v>
      </c>
      <c r="AB31" s="21">
        <f t="shared" si="12"/>
        <v>1.0123180291153415</v>
      </c>
      <c r="AC31" s="3"/>
      <c r="AD31" s="3"/>
    </row>
    <row r="32" spans="1:30" x14ac:dyDescent="0.25">
      <c r="A32" s="1"/>
      <c r="B32" s="22" t="s">
        <v>60</v>
      </c>
      <c r="C32" s="41" t="s">
        <v>61</v>
      </c>
      <c r="D32" s="74">
        <v>11538.9</v>
      </c>
      <c r="E32" s="74">
        <f>SUM(E33:E34)</f>
        <v>460.90000000000003</v>
      </c>
      <c r="F32" s="74"/>
      <c r="G32" s="71">
        <f t="shared" si="13"/>
        <v>11999.8</v>
      </c>
      <c r="H32" s="71"/>
      <c r="I32" s="19">
        <f t="shared" si="14"/>
        <v>11999.8</v>
      </c>
      <c r="J32" s="75">
        <v>13071</v>
      </c>
      <c r="K32" s="74">
        <v>440</v>
      </c>
      <c r="L32" s="74"/>
      <c r="M32" s="71">
        <f t="shared" si="15"/>
        <v>13511</v>
      </c>
      <c r="N32" s="71"/>
      <c r="O32" s="19">
        <f t="shared" si="16"/>
        <v>13511</v>
      </c>
      <c r="P32" s="75">
        <v>6073</v>
      </c>
      <c r="Q32" s="74">
        <v>240.2</v>
      </c>
      <c r="R32" s="74">
        <v>0</v>
      </c>
      <c r="S32" s="71">
        <f t="shared" si="17"/>
        <v>6313.2</v>
      </c>
      <c r="T32" s="71"/>
      <c r="U32" s="19">
        <f t="shared" si="18"/>
        <v>6313.2</v>
      </c>
      <c r="V32" s="75">
        <v>13965</v>
      </c>
      <c r="W32" s="74">
        <v>598</v>
      </c>
      <c r="X32" s="74"/>
      <c r="Y32" s="71">
        <f t="shared" si="19"/>
        <v>14563</v>
      </c>
      <c r="Z32" s="71"/>
      <c r="AA32" s="19">
        <f t="shared" si="20"/>
        <v>14563</v>
      </c>
      <c r="AB32" s="21">
        <f t="shared" si="12"/>
        <v>1.0778624824217304</v>
      </c>
      <c r="AC32" s="3"/>
      <c r="AD32" s="3"/>
    </row>
    <row r="33" spans="1:30" x14ac:dyDescent="0.25">
      <c r="A33" s="1"/>
      <c r="B33" s="22" t="s">
        <v>62</v>
      </c>
      <c r="C33" s="35" t="s">
        <v>63</v>
      </c>
      <c r="D33" s="74">
        <v>10534.6</v>
      </c>
      <c r="E33" s="74">
        <v>456.6</v>
      </c>
      <c r="F33" s="74"/>
      <c r="G33" s="71">
        <f t="shared" si="13"/>
        <v>10991.2</v>
      </c>
      <c r="H33" s="71"/>
      <c r="I33" s="19">
        <f t="shared" si="14"/>
        <v>10991.2</v>
      </c>
      <c r="J33" s="75">
        <v>11971</v>
      </c>
      <c r="K33" s="74">
        <v>400</v>
      </c>
      <c r="L33" s="74"/>
      <c r="M33" s="71">
        <f t="shared" si="15"/>
        <v>12371</v>
      </c>
      <c r="N33" s="71"/>
      <c r="O33" s="19">
        <f t="shared" si="16"/>
        <v>12371</v>
      </c>
      <c r="P33" s="75">
        <v>5565</v>
      </c>
      <c r="Q33" s="74">
        <v>225.9</v>
      </c>
      <c r="R33" s="74">
        <v>0</v>
      </c>
      <c r="S33" s="71">
        <f t="shared" si="17"/>
        <v>5790.9</v>
      </c>
      <c r="T33" s="71"/>
      <c r="U33" s="19">
        <f t="shared" si="18"/>
        <v>5790.9</v>
      </c>
      <c r="V33" s="75">
        <v>12810</v>
      </c>
      <c r="W33" s="74">
        <v>548</v>
      </c>
      <c r="X33" s="74"/>
      <c r="Y33" s="71">
        <f t="shared" si="19"/>
        <v>13358</v>
      </c>
      <c r="Z33" s="71"/>
      <c r="AA33" s="19">
        <f t="shared" si="20"/>
        <v>13358</v>
      </c>
      <c r="AB33" s="21">
        <f t="shared" si="12"/>
        <v>1.0797833643197801</v>
      </c>
      <c r="AC33" s="3"/>
      <c r="AD33" s="3"/>
    </row>
    <row r="34" spans="1:30" x14ac:dyDescent="0.25">
      <c r="A34" s="1"/>
      <c r="B34" s="22" t="s">
        <v>64</v>
      </c>
      <c r="C34" s="76" t="s">
        <v>65</v>
      </c>
      <c r="D34" s="74">
        <v>1004.3</v>
      </c>
      <c r="E34" s="74">
        <v>4.3</v>
      </c>
      <c r="F34" s="74"/>
      <c r="G34" s="71">
        <f t="shared" si="13"/>
        <v>1008.5999999999999</v>
      </c>
      <c r="H34" s="71"/>
      <c r="I34" s="19">
        <f t="shared" si="14"/>
        <v>1008.5999999999999</v>
      </c>
      <c r="J34" s="75">
        <v>1100</v>
      </c>
      <c r="K34" s="74">
        <v>40</v>
      </c>
      <c r="L34" s="74"/>
      <c r="M34" s="71">
        <f t="shared" si="15"/>
        <v>1140</v>
      </c>
      <c r="N34" s="71"/>
      <c r="O34" s="19">
        <f t="shared" si="16"/>
        <v>1140</v>
      </c>
      <c r="P34" s="75">
        <v>508.1</v>
      </c>
      <c r="Q34" s="74">
        <v>14.3</v>
      </c>
      <c r="R34" s="74">
        <v>0</v>
      </c>
      <c r="S34" s="71">
        <f t="shared" si="17"/>
        <v>522.4</v>
      </c>
      <c r="T34" s="71"/>
      <c r="U34" s="19">
        <f t="shared" si="18"/>
        <v>522.4</v>
      </c>
      <c r="V34" s="75">
        <v>1155</v>
      </c>
      <c r="W34" s="74">
        <v>50</v>
      </c>
      <c r="X34" s="74"/>
      <c r="Y34" s="71">
        <f t="shared" si="19"/>
        <v>1205</v>
      </c>
      <c r="Z34" s="71"/>
      <c r="AA34" s="19">
        <f t="shared" si="20"/>
        <v>1205</v>
      </c>
      <c r="AB34" s="21">
        <f t="shared" si="12"/>
        <v>1.0570175438596492</v>
      </c>
      <c r="AC34" s="3"/>
      <c r="AD34" s="3"/>
    </row>
    <row r="35" spans="1:30" x14ac:dyDescent="0.25">
      <c r="A35" s="1"/>
      <c r="B35" s="22" t="s">
        <v>66</v>
      </c>
      <c r="C35" s="41" t="s">
        <v>67</v>
      </c>
      <c r="D35" s="74">
        <v>3660.9</v>
      </c>
      <c r="E35" s="74">
        <v>152.5</v>
      </c>
      <c r="F35" s="74"/>
      <c r="G35" s="71">
        <f t="shared" si="13"/>
        <v>3813.4</v>
      </c>
      <c r="H35" s="71"/>
      <c r="I35" s="19">
        <f t="shared" si="14"/>
        <v>3813.4</v>
      </c>
      <c r="J35" s="75">
        <v>4104</v>
      </c>
      <c r="K35" s="74">
        <v>152</v>
      </c>
      <c r="L35" s="74"/>
      <c r="M35" s="71">
        <f t="shared" si="15"/>
        <v>4256</v>
      </c>
      <c r="N35" s="71"/>
      <c r="O35" s="19">
        <f t="shared" si="16"/>
        <v>4256</v>
      </c>
      <c r="P35" s="75">
        <f>1906.7+15.7</f>
        <v>1922.4</v>
      </c>
      <c r="Q35" s="74">
        <f>76.8+0.63</f>
        <v>77.429999999999993</v>
      </c>
      <c r="R35" s="74">
        <v>0</v>
      </c>
      <c r="S35" s="71">
        <f t="shared" si="17"/>
        <v>1999.8300000000002</v>
      </c>
      <c r="T35" s="71"/>
      <c r="U35" s="19">
        <f t="shared" si="18"/>
        <v>1999.8300000000002</v>
      </c>
      <c r="V35" s="75">
        <v>4370</v>
      </c>
      <c r="W35" s="74">
        <v>189</v>
      </c>
      <c r="X35" s="74"/>
      <c r="Y35" s="71">
        <f t="shared" si="19"/>
        <v>4559</v>
      </c>
      <c r="Z35" s="71"/>
      <c r="AA35" s="19">
        <f t="shared" si="20"/>
        <v>4559</v>
      </c>
      <c r="AB35" s="21">
        <f t="shared" si="12"/>
        <v>1.0711936090225564</v>
      </c>
      <c r="AC35" s="3"/>
      <c r="AD35" s="3"/>
    </row>
    <row r="36" spans="1:30" x14ac:dyDescent="0.25">
      <c r="A36" s="1"/>
      <c r="B36" s="22" t="s">
        <v>68</v>
      </c>
      <c r="C36" s="41" t="s">
        <v>69</v>
      </c>
      <c r="D36" s="74">
        <v>3.2</v>
      </c>
      <c r="E36" s="74"/>
      <c r="F36" s="74"/>
      <c r="G36" s="71">
        <f t="shared" si="13"/>
        <v>3.2</v>
      </c>
      <c r="H36" s="71"/>
      <c r="I36" s="19">
        <f t="shared" si="14"/>
        <v>3.2</v>
      </c>
      <c r="J36" s="75">
        <v>2</v>
      </c>
      <c r="K36" s="74">
        <v>0</v>
      </c>
      <c r="L36" s="74"/>
      <c r="M36" s="71">
        <f t="shared" si="15"/>
        <v>2</v>
      </c>
      <c r="N36" s="71">
        <v>2</v>
      </c>
      <c r="O36" s="19">
        <f t="shared" si="16"/>
        <v>4</v>
      </c>
      <c r="P36" s="75">
        <v>3.2</v>
      </c>
      <c r="Q36" s="74">
        <v>0</v>
      </c>
      <c r="R36" s="74">
        <v>0</v>
      </c>
      <c r="S36" s="71">
        <f t="shared" si="17"/>
        <v>3.2</v>
      </c>
      <c r="T36" s="72"/>
      <c r="U36" s="19">
        <f t="shared" si="18"/>
        <v>3.2</v>
      </c>
      <c r="V36" s="75">
        <v>2</v>
      </c>
      <c r="W36" s="74">
        <v>0</v>
      </c>
      <c r="X36" s="74"/>
      <c r="Y36" s="71">
        <f t="shared" si="19"/>
        <v>2</v>
      </c>
      <c r="Z36" s="71"/>
      <c r="AA36" s="19">
        <f t="shared" si="20"/>
        <v>2</v>
      </c>
      <c r="AB36" s="21">
        <f t="shared" si="12"/>
        <v>0.5</v>
      </c>
      <c r="AC36" s="3"/>
      <c r="AD36" s="3"/>
    </row>
    <row r="37" spans="1:30" x14ac:dyDescent="0.25">
      <c r="A37" s="1"/>
      <c r="B37" s="22" t="s">
        <v>70</v>
      </c>
      <c r="C37" s="41" t="s">
        <v>71</v>
      </c>
      <c r="D37" s="74">
        <v>313.5</v>
      </c>
      <c r="E37" s="74"/>
      <c r="F37" s="74"/>
      <c r="G37" s="71">
        <f t="shared" si="13"/>
        <v>313.5</v>
      </c>
      <c r="H37" s="71"/>
      <c r="I37" s="19">
        <f t="shared" si="14"/>
        <v>313.5</v>
      </c>
      <c r="J37" s="75">
        <v>304</v>
      </c>
      <c r="K37" s="74">
        <v>0</v>
      </c>
      <c r="L37" s="74"/>
      <c r="M37" s="71">
        <f t="shared" si="15"/>
        <v>304</v>
      </c>
      <c r="N37" s="71"/>
      <c r="O37" s="19">
        <f t="shared" si="16"/>
        <v>304</v>
      </c>
      <c r="P37" s="75">
        <v>238.3</v>
      </c>
      <c r="Q37" s="74">
        <v>0</v>
      </c>
      <c r="R37" s="74">
        <v>0</v>
      </c>
      <c r="S37" s="71">
        <f t="shared" si="17"/>
        <v>238.3</v>
      </c>
      <c r="T37" s="71"/>
      <c r="U37" s="19">
        <f t="shared" si="18"/>
        <v>238.3</v>
      </c>
      <c r="V37" s="75">
        <v>404</v>
      </c>
      <c r="W37" s="74">
        <v>0</v>
      </c>
      <c r="X37" s="74"/>
      <c r="Y37" s="71">
        <f t="shared" si="19"/>
        <v>404</v>
      </c>
      <c r="Z37" s="71"/>
      <c r="AA37" s="19">
        <f t="shared" si="20"/>
        <v>404</v>
      </c>
      <c r="AB37" s="21">
        <f t="shared" si="12"/>
        <v>1.3289473684210527</v>
      </c>
      <c r="AC37" s="3"/>
      <c r="AD37" s="3"/>
    </row>
    <row r="38" spans="1:30" ht="15.75" thickBot="1" x14ac:dyDescent="0.3">
      <c r="A38" s="1"/>
      <c r="B38" s="77" t="s">
        <v>72</v>
      </c>
      <c r="C38" s="78" t="s">
        <v>73</v>
      </c>
      <c r="D38" s="79">
        <v>1038.5</v>
      </c>
      <c r="E38" s="79">
        <v>79.099999999999994</v>
      </c>
      <c r="F38" s="79">
        <v>318</v>
      </c>
      <c r="G38" s="71">
        <f t="shared" si="13"/>
        <v>1435.6</v>
      </c>
      <c r="H38" s="80"/>
      <c r="I38" s="49">
        <f t="shared" si="14"/>
        <v>1435.6</v>
      </c>
      <c r="J38" s="81">
        <v>1841</v>
      </c>
      <c r="K38" s="79">
        <v>27</v>
      </c>
      <c r="L38" s="79">
        <v>398</v>
      </c>
      <c r="M38" s="71">
        <f t="shared" si="15"/>
        <v>2266</v>
      </c>
      <c r="N38" s="80"/>
      <c r="O38" s="49">
        <f t="shared" si="16"/>
        <v>2266</v>
      </c>
      <c r="P38" s="81">
        <v>456.1</v>
      </c>
      <c r="Q38" s="79">
        <f>5.1+6.3</f>
        <v>11.399999999999999</v>
      </c>
      <c r="R38" s="79">
        <v>321.10000000000002</v>
      </c>
      <c r="S38" s="80">
        <f t="shared" si="17"/>
        <v>788.6</v>
      </c>
      <c r="T38" s="80"/>
      <c r="U38" s="49">
        <f t="shared" si="18"/>
        <v>788.6</v>
      </c>
      <c r="V38" s="81">
        <v>1167</v>
      </c>
      <c r="W38" s="79">
        <v>27</v>
      </c>
      <c r="X38" s="79">
        <v>825</v>
      </c>
      <c r="Y38" s="80">
        <f t="shared" si="19"/>
        <v>2019</v>
      </c>
      <c r="Z38" s="80"/>
      <c r="AA38" s="49">
        <f t="shared" si="20"/>
        <v>2019</v>
      </c>
      <c r="AB38" s="51">
        <f t="shared" si="12"/>
        <v>0.89099735216240072</v>
      </c>
      <c r="AC38" s="3"/>
      <c r="AD38" s="3"/>
    </row>
    <row r="39" spans="1:30" ht="15.75" thickBot="1" x14ac:dyDescent="0.3">
      <c r="A39" s="1"/>
      <c r="B39" s="52" t="s">
        <v>74</v>
      </c>
      <c r="C39" s="82" t="s">
        <v>75</v>
      </c>
      <c r="D39" s="83">
        <f>SUM(D35:D38)+SUM(D28:D32)</f>
        <v>20821.8</v>
      </c>
      <c r="E39" s="83">
        <f>SUM(E35:E38)+SUM(E28:E32)</f>
        <v>1426.5</v>
      </c>
      <c r="F39" s="83">
        <f>SUM(F35:F38)+SUM(F28:F32)</f>
        <v>3178.3</v>
      </c>
      <c r="G39" s="84">
        <f>SUM(D39:F39)</f>
        <v>25426.6</v>
      </c>
      <c r="H39" s="85">
        <f>SUM(H28:H32)+SUM(H35:H38)</f>
        <v>0</v>
      </c>
      <c r="I39" s="86">
        <f>SUM(I35:I38)+SUM(I28:I32)</f>
        <v>25426.6</v>
      </c>
      <c r="J39" s="83">
        <f>SUM(J35:J38)+SUM(J28:J32)</f>
        <v>24544</v>
      </c>
      <c r="K39" s="83">
        <f>SUM(K35:K38)+SUM(K28:K32)</f>
        <v>1000</v>
      </c>
      <c r="L39" s="83">
        <f>SUM(L35:L38)+SUM(L28:L32)</f>
        <v>2438</v>
      </c>
      <c r="M39" s="84">
        <f>SUM(J39:L39)</f>
        <v>27982</v>
      </c>
      <c r="N39" s="85">
        <f>SUM(N28:N32)+SUM(N35:N38)</f>
        <v>2</v>
      </c>
      <c r="O39" s="86">
        <f>SUM(O35:O38)+SUM(O28:O32)</f>
        <v>27984</v>
      </c>
      <c r="P39" s="83">
        <f>SUM(P35:P38)+SUM(P28:P32)</f>
        <v>10653.1</v>
      </c>
      <c r="Q39" s="83">
        <f>SUM(Q35:Q38)+SUM(Q28:Q32)</f>
        <v>555.03</v>
      </c>
      <c r="R39" s="83">
        <f>SUM(R35:R38)+SUM(R28:R32)</f>
        <v>1581.1999999999998</v>
      </c>
      <c r="S39" s="84">
        <f>SUM(P39:R39)</f>
        <v>12789.330000000002</v>
      </c>
      <c r="T39" s="85">
        <f>SUM(T28:T32)+SUM(T35:T38)</f>
        <v>0</v>
      </c>
      <c r="U39" s="86">
        <f>SUM(U35:U38)+SUM(U28:U32)</f>
        <v>12789.33</v>
      </c>
      <c r="V39" s="83">
        <f>SUM(V35:V38)+SUM(V28:V32)</f>
        <v>26586</v>
      </c>
      <c r="W39" s="83">
        <f>SUM(W35:W38)+SUM(W28:W32)</f>
        <v>1235</v>
      </c>
      <c r="X39" s="83">
        <f>SUM(X35:X38)+SUM(X28:X32)</f>
        <v>3025</v>
      </c>
      <c r="Y39" s="84">
        <f>SUM(V39:X39)</f>
        <v>30846</v>
      </c>
      <c r="Z39" s="85">
        <f>SUM(Z28:Z32)+SUM(Z35:Z38)</f>
        <v>0</v>
      </c>
      <c r="AA39" s="86">
        <f>SUM(AA35:AA38)+SUM(AA28:AA32)</f>
        <v>30846</v>
      </c>
      <c r="AB39" s="87">
        <f t="shared" si="12"/>
        <v>1.1022727272727273</v>
      </c>
      <c r="AC39" s="3"/>
      <c r="AD39" s="3"/>
    </row>
    <row r="40" spans="1:30" ht="19.5" thickBot="1" x14ac:dyDescent="0.35">
      <c r="A40" s="1"/>
      <c r="B40" s="88" t="s">
        <v>76</v>
      </c>
      <c r="C40" s="89" t="s">
        <v>77</v>
      </c>
      <c r="D40" s="90">
        <f t="shared" ref="D40:AA40" si="21">D24-D39</f>
        <v>346.09999999999854</v>
      </c>
      <c r="E40" s="90">
        <f t="shared" si="21"/>
        <v>0</v>
      </c>
      <c r="F40" s="90">
        <f t="shared" si="21"/>
        <v>-218.40000000000009</v>
      </c>
      <c r="G40" s="91">
        <f t="shared" si="21"/>
        <v>127.70000000000073</v>
      </c>
      <c r="H40" s="91">
        <f t="shared" si="21"/>
        <v>0.5</v>
      </c>
      <c r="I40" s="92">
        <f t="shared" si="21"/>
        <v>128.19999999999709</v>
      </c>
      <c r="J40" s="90">
        <f t="shared" si="21"/>
        <v>-8</v>
      </c>
      <c r="K40" s="90">
        <f t="shared" si="21"/>
        <v>0</v>
      </c>
      <c r="L40" s="90">
        <f t="shared" si="21"/>
        <v>0</v>
      </c>
      <c r="M40" s="91">
        <f t="shared" si="21"/>
        <v>-8</v>
      </c>
      <c r="N40" s="91">
        <f t="shared" si="21"/>
        <v>8</v>
      </c>
      <c r="O40" s="92">
        <f t="shared" si="21"/>
        <v>0</v>
      </c>
      <c r="P40" s="90">
        <f t="shared" si="21"/>
        <v>1650.5</v>
      </c>
      <c r="Q40" s="90">
        <f t="shared" si="21"/>
        <v>692.56999999999994</v>
      </c>
      <c r="R40" s="90">
        <f t="shared" si="21"/>
        <v>0</v>
      </c>
      <c r="S40" s="91">
        <f t="shared" si="21"/>
        <v>2343.0699999999997</v>
      </c>
      <c r="T40" s="91">
        <f t="shared" si="21"/>
        <v>0</v>
      </c>
      <c r="U40" s="92">
        <f t="shared" si="21"/>
        <v>2343.0700000000015</v>
      </c>
      <c r="V40" s="90">
        <f t="shared" si="21"/>
        <v>0</v>
      </c>
      <c r="W40" s="90">
        <f t="shared" si="21"/>
        <v>0</v>
      </c>
      <c r="X40" s="90">
        <f t="shared" si="21"/>
        <v>0</v>
      </c>
      <c r="Y40" s="91">
        <f t="shared" si="21"/>
        <v>0</v>
      </c>
      <c r="Z40" s="91">
        <f t="shared" si="21"/>
        <v>0</v>
      </c>
      <c r="AA40" s="92">
        <f t="shared" si="21"/>
        <v>0</v>
      </c>
      <c r="AB40" s="93" t="e">
        <f t="shared" si="12"/>
        <v>#DIV/0!</v>
      </c>
      <c r="AC40" s="3"/>
      <c r="AD40" s="3"/>
    </row>
    <row r="41" spans="1:30" ht="15.75" thickBot="1" x14ac:dyDescent="0.3">
      <c r="A41" s="1"/>
      <c r="B41" s="94" t="s">
        <v>78</v>
      </c>
      <c r="C41" s="95" t="s">
        <v>79</v>
      </c>
      <c r="D41" s="96"/>
      <c r="E41" s="97"/>
      <c r="F41" s="97"/>
      <c r="G41" s="98"/>
      <c r="H41" s="99"/>
      <c r="I41" s="100">
        <f>I40-D16</f>
        <v>-20951.900000000001</v>
      </c>
      <c r="J41" s="96"/>
      <c r="K41" s="97"/>
      <c r="L41" s="97"/>
      <c r="M41" s="98"/>
      <c r="N41" s="101"/>
      <c r="O41" s="100">
        <f>O40-J16</f>
        <v>-24536</v>
      </c>
      <c r="P41" s="96"/>
      <c r="Q41" s="97"/>
      <c r="R41" s="97"/>
      <c r="S41" s="98"/>
      <c r="T41" s="101"/>
      <c r="U41" s="100">
        <f>U40-P16</f>
        <v>-9924.9299999999985</v>
      </c>
      <c r="V41" s="96"/>
      <c r="W41" s="97"/>
      <c r="X41" s="97"/>
      <c r="Y41" s="98"/>
      <c r="Z41" s="101"/>
      <c r="AA41" s="100">
        <f>AA40-V16</f>
        <v>-26538</v>
      </c>
      <c r="AB41" s="21">
        <f t="shared" si="12"/>
        <v>1.0815943919139224</v>
      </c>
      <c r="AC41" s="3"/>
      <c r="AD41" s="3"/>
    </row>
    <row r="42" spans="1:30" s="108" customFormat="1" ht="8.25" customHeight="1" thickBot="1" x14ac:dyDescent="0.3">
      <c r="A42" s="102"/>
      <c r="B42" s="103"/>
      <c r="C42" s="104"/>
      <c r="D42" s="105"/>
      <c r="E42" s="106"/>
      <c r="F42" s="106"/>
      <c r="G42" s="102"/>
      <c r="H42" s="106"/>
      <c r="I42" s="106"/>
      <c r="J42" s="105"/>
      <c r="K42" s="106"/>
      <c r="L42" s="106"/>
      <c r="M42" s="102"/>
      <c r="N42" s="106"/>
      <c r="O42" s="106"/>
      <c r="P42" s="106"/>
      <c r="Q42" s="106"/>
      <c r="R42" s="106"/>
      <c r="S42" s="106"/>
      <c r="T42" s="106"/>
      <c r="U42" s="106"/>
      <c r="V42" s="107"/>
      <c r="W42" s="107"/>
      <c r="X42" s="107"/>
      <c r="Y42" s="107"/>
      <c r="Z42" s="107"/>
      <c r="AA42" s="107"/>
      <c r="AB42" s="107"/>
      <c r="AC42" s="107"/>
      <c r="AD42" s="107"/>
    </row>
    <row r="43" spans="1:30" s="108" customFormat="1" ht="15.75" customHeight="1" thickBot="1" x14ac:dyDescent="0.3">
      <c r="A43" s="102"/>
      <c r="B43" s="109"/>
      <c r="C43" s="201" t="s">
        <v>80</v>
      </c>
      <c r="D43" s="110" t="s">
        <v>81</v>
      </c>
      <c r="E43" s="111" t="s">
        <v>82</v>
      </c>
      <c r="F43" s="112" t="s">
        <v>83</v>
      </c>
      <c r="G43" s="106"/>
      <c r="H43" s="106"/>
      <c r="I43" s="113"/>
      <c r="J43" s="110" t="s">
        <v>81</v>
      </c>
      <c r="K43" s="111" t="s">
        <v>82</v>
      </c>
      <c r="L43" s="112" t="s">
        <v>83</v>
      </c>
      <c r="M43" s="106"/>
      <c r="N43" s="106"/>
      <c r="O43" s="106"/>
      <c r="P43" s="110" t="s">
        <v>81</v>
      </c>
      <c r="Q43" s="111" t="s">
        <v>82</v>
      </c>
      <c r="R43" s="112" t="s">
        <v>83</v>
      </c>
      <c r="S43" s="107"/>
      <c r="T43" s="107"/>
      <c r="U43" s="107"/>
      <c r="V43" s="110" t="s">
        <v>81</v>
      </c>
      <c r="W43" s="111" t="s">
        <v>82</v>
      </c>
      <c r="X43" s="112" t="s">
        <v>83</v>
      </c>
      <c r="Y43" s="107"/>
      <c r="Z43" s="107"/>
      <c r="AA43" s="107"/>
      <c r="AB43" s="107"/>
      <c r="AC43" s="107"/>
      <c r="AD43" s="107"/>
    </row>
    <row r="44" spans="1:30" ht="15.75" thickBot="1" x14ac:dyDescent="0.3">
      <c r="A44" s="1"/>
      <c r="B44" s="109"/>
      <c r="C44" s="202"/>
      <c r="D44" s="114">
        <f>SUM(E44:F44)</f>
        <v>492.3</v>
      </c>
      <c r="E44" s="115">
        <v>492.3</v>
      </c>
      <c r="F44" s="116">
        <v>0</v>
      </c>
      <c r="G44" s="106"/>
      <c r="H44" s="106"/>
      <c r="I44" s="113"/>
      <c r="J44" s="114">
        <f>SUM(K44:L44)</f>
        <v>500.2</v>
      </c>
      <c r="K44" s="115">
        <v>500.2</v>
      </c>
      <c r="L44" s="116">
        <v>0</v>
      </c>
      <c r="M44" s="117"/>
      <c r="N44" s="117"/>
      <c r="O44" s="117"/>
      <c r="P44" s="114">
        <v>0</v>
      </c>
      <c r="Q44" s="115">
        <v>0</v>
      </c>
      <c r="R44" s="116">
        <v>0</v>
      </c>
      <c r="S44" s="3"/>
      <c r="T44" s="3"/>
      <c r="U44" s="3"/>
      <c r="V44" s="114">
        <v>0</v>
      </c>
      <c r="W44" s="115">
        <v>0</v>
      </c>
      <c r="X44" s="116">
        <v>0</v>
      </c>
      <c r="Y44" s="3"/>
      <c r="Z44" s="3"/>
      <c r="AA44" s="3"/>
      <c r="AB44" s="3"/>
      <c r="AC44" s="3"/>
      <c r="AD44" s="3"/>
    </row>
    <row r="45" spans="1:30" s="108" customFormat="1" ht="8.25" customHeight="1" thickBot="1" x14ac:dyDescent="0.3">
      <c r="A45" s="102"/>
      <c r="B45" s="109"/>
      <c r="C45" s="104"/>
      <c r="D45" s="117"/>
      <c r="E45" s="106"/>
      <c r="F45" s="106"/>
      <c r="G45" s="106"/>
      <c r="H45" s="106"/>
      <c r="I45" s="113"/>
      <c r="J45" s="106"/>
      <c r="K45" s="106"/>
      <c r="L45" s="106"/>
      <c r="M45" s="106"/>
      <c r="N45" s="106"/>
      <c r="O45" s="113"/>
      <c r="P45" s="113"/>
      <c r="Q45" s="113"/>
      <c r="R45" s="113"/>
      <c r="S45" s="113"/>
      <c r="T45" s="113"/>
      <c r="U45" s="113"/>
      <c r="V45" s="107"/>
      <c r="W45" s="107"/>
      <c r="X45" s="107"/>
      <c r="Y45" s="107"/>
      <c r="Z45" s="107"/>
      <c r="AA45" s="107"/>
      <c r="AB45" s="107"/>
      <c r="AC45" s="107"/>
      <c r="AD45" s="107"/>
    </row>
    <row r="46" spans="1:30" s="108" customFormat="1" ht="37.5" customHeight="1" thickBot="1" x14ac:dyDescent="0.3">
      <c r="A46" s="102"/>
      <c r="B46" s="109"/>
      <c r="C46" s="201" t="s">
        <v>84</v>
      </c>
      <c r="D46" s="118" t="s">
        <v>85</v>
      </c>
      <c r="E46" s="119" t="s">
        <v>86</v>
      </c>
      <c r="F46" s="106"/>
      <c r="G46" s="106"/>
      <c r="H46" s="106"/>
      <c r="I46" s="113"/>
      <c r="J46" s="118" t="s">
        <v>85</v>
      </c>
      <c r="K46" s="119" t="s">
        <v>86</v>
      </c>
      <c r="L46" s="120"/>
      <c r="M46" s="120"/>
      <c r="N46" s="107"/>
      <c r="O46" s="107"/>
      <c r="P46" s="118" t="s">
        <v>85</v>
      </c>
      <c r="Q46" s="119" t="s">
        <v>86</v>
      </c>
      <c r="R46" s="107"/>
      <c r="S46" s="107"/>
      <c r="T46" s="107"/>
      <c r="U46" s="107"/>
      <c r="V46" s="118" t="s">
        <v>85</v>
      </c>
      <c r="W46" s="119" t="s">
        <v>86</v>
      </c>
      <c r="X46" s="107"/>
      <c r="Y46" s="107"/>
      <c r="Z46" s="107"/>
      <c r="AA46" s="107"/>
      <c r="AB46" s="107"/>
      <c r="AC46" s="107"/>
      <c r="AD46" s="107"/>
    </row>
    <row r="47" spans="1:30" ht="15.75" thickBot="1" x14ac:dyDescent="0.3">
      <c r="A47" s="1"/>
      <c r="B47" s="121"/>
      <c r="C47" s="203"/>
      <c r="D47" s="114">
        <v>0</v>
      </c>
      <c r="E47" s="122">
        <v>0</v>
      </c>
      <c r="F47" s="106"/>
      <c r="G47" s="106"/>
      <c r="H47" s="106"/>
      <c r="I47" s="113"/>
      <c r="J47" s="114">
        <v>0</v>
      </c>
      <c r="K47" s="122">
        <v>0</v>
      </c>
      <c r="L47" s="123"/>
      <c r="M47" s="123"/>
      <c r="N47" s="3"/>
      <c r="O47" s="3"/>
      <c r="P47" s="114">
        <v>0</v>
      </c>
      <c r="Q47" s="122">
        <v>0</v>
      </c>
      <c r="R47" s="3"/>
      <c r="S47" s="3"/>
      <c r="T47" s="3"/>
      <c r="U47" s="3"/>
      <c r="V47" s="114">
        <v>0</v>
      </c>
      <c r="W47" s="122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1"/>
      <c r="B48" s="121"/>
      <c r="C48" s="104"/>
      <c r="D48" s="106"/>
      <c r="E48" s="106"/>
      <c r="F48" s="106"/>
      <c r="G48" s="106"/>
      <c r="H48" s="106"/>
      <c r="I48" s="113"/>
      <c r="J48" s="106"/>
      <c r="K48" s="106"/>
      <c r="L48" s="106"/>
      <c r="M48" s="106"/>
      <c r="N48" s="106"/>
      <c r="O48" s="113"/>
      <c r="P48" s="113"/>
      <c r="Q48" s="113"/>
      <c r="R48" s="113"/>
      <c r="S48" s="113"/>
      <c r="T48" s="113"/>
      <c r="U48" s="113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1"/>
      <c r="B49" s="121"/>
      <c r="C49" s="124" t="s">
        <v>87</v>
      </c>
      <c r="D49" s="125" t="s">
        <v>88</v>
      </c>
      <c r="E49" s="125" t="s">
        <v>89</v>
      </c>
      <c r="F49" s="125" t="s">
        <v>90</v>
      </c>
      <c r="G49" s="125" t="s">
        <v>91</v>
      </c>
      <c r="H49" s="106"/>
      <c r="I49" s="3"/>
      <c r="J49" s="125" t="s">
        <v>88</v>
      </c>
      <c r="K49" s="125" t="s">
        <v>89</v>
      </c>
      <c r="L49" s="125" t="s">
        <v>90</v>
      </c>
      <c r="M49" s="125" t="s">
        <v>92</v>
      </c>
      <c r="N49" s="3"/>
      <c r="O49" s="3"/>
      <c r="P49" s="125" t="s">
        <v>88</v>
      </c>
      <c r="Q49" s="125" t="s">
        <v>89</v>
      </c>
      <c r="R49" s="125" t="s">
        <v>90</v>
      </c>
      <c r="S49" s="125" t="s">
        <v>92</v>
      </c>
      <c r="T49" s="3"/>
      <c r="U49" s="3"/>
      <c r="V49" s="125" t="s">
        <v>93</v>
      </c>
      <c r="W49" s="125" t="s">
        <v>89</v>
      </c>
      <c r="X49" s="125" t="s">
        <v>90</v>
      </c>
      <c r="Y49" s="125" t="s">
        <v>92</v>
      </c>
      <c r="Z49" s="3"/>
      <c r="AA49" s="3"/>
      <c r="AB49" s="3"/>
      <c r="AC49" s="3"/>
      <c r="AD49" s="3"/>
    </row>
    <row r="50" spans="1:30" x14ac:dyDescent="0.25">
      <c r="A50" s="1"/>
      <c r="B50" s="121"/>
      <c r="C50" s="126" t="s">
        <v>94</v>
      </c>
      <c r="D50" s="127">
        <v>196.3</v>
      </c>
      <c r="E50" s="127">
        <v>80</v>
      </c>
      <c r="F50" s="127">
        <v>0</v>
      </c>
      <c r="G50" s="128">
        <f t="shared" ref="G50:G53" si="22">D50+E50-F50</f>
        <v>276.3</v>
      </c>
      <c r="H50" s="106"/>
      <c r="I50" s="3"/>
      <c r="J50" s="129">
        <v>196.3</v>
      </c>
      <c r="K50" s="130">
        <v>0</v>
      </c>
      <c r="L50" s="130">
        <v>0</v>
      </c>
      <c r="M50" s="129">
        <f>J50+K50-L50</f>
        <v>196.3</v>
      </c>
      <c r="N50" s="3"/>
      <c r="O50" s="3"/>
      <c r="P50" s="130">
        <v>276.3</v>
      </c>
      <c r="Q50" s="130">
        <v>100</v>
      </c>
      <c r="R50" s="130">
        <v>80</v>
      </c>
      <c r="S50" s="129">
        <f>P50+Q50-R50</f>
        <v>296.3</v>
      </c>
      <c r="T50" s="3"/>
      <c r="U50" s="3"/>
      <c r="V50" s="129">
        <v>296.3</v>
      </c>
      <c r="W50" s="130">
        <v>0</v>
      </c>
      <c r="X50" s="130">
        <v>0</v>
      </c>
      <c r="Y50" s="129">
        <f t="shared" ref="Y50:Y53" si="23">V50+W50-X50</f>
        <v>296.3</v>
      </c>
      <c r="Z50" s="3"/>
      <c r="AA50" s="3"/>
      <c r="AB50" s="3"/>
      <c r="AC50" s="3"/>
      <c r="AD50" s="3"/>
    </row>
    <row r="51" spans="1:30" x14ac:dyDescent="0.25">
      <c r="A51" s="1"/>
      <c r="B51" s="121"/>
      <c r="C51" s="126" t="s">
        <v>95</v>
      </c>
      <c r="D51" s="127">
        <v>1434.5</v>
      </c>
      <c r="E51" s="127">
        <v>276.2</v>
      </c>
      <c r="F51" s="127">
        <v>439</v>
      </c>
      <c r="G51" s="128">
        <f t="shared" si="22"/>
        <v>1271.7</v>
      </c>
      <c r="H51" s="106"/>
      <c r="I51" s="3"/>
      <c r="J51" s="129">
        <v>1301.2</v>
      </c>
      <c r="K51" s="130">
        <v>304</v>
      </c>
      <c r="L51" s="130">
        <v>1552.2</v>
      </c>
      <c r="M51" s="129">
        <f t="shared" ref="M51:M53" si="24">J51+K51-L51</f>
        <v>53</v>
      </c>
      <c r="N51" s="3"/>
      <c r="O51" s="3"/>
      <c r="P51" s="130">
        <v>1271.7</v>
      </c>
      <c r="Q51" s="130">
        <v>213.7</v>
      </c>
      <c r="R51" s="130">
        <v>100</v>
      </c>
      <c r="S51" s="129">
        <f>P51+Q51-R51</f>
        <v>1385.4</v>
      </c>
      <c r="T51" s="3"/>
      <c r="U51" s="3"/>
      <c r="V51" s="129">
        <v>1385.4</v>
      </c>
      <c r="W51" s="130">
        <v>404</v>
      </c>
      <c r="X51" s="130">
        <v>1750</v>
      </c>
      <c r="Y51" s="129">
        <f t="shared" si="23"/>
        <v>39.400000000000091</v>
      </c>
      <c r="Z51" s="3"/>
      <c r="AA51" s="3"/>
      <c r="AB51" s="3"/>
      <c r="AC51" s="3"/>
      <c r="AD51" s="3"/>
    </row>
    <row r="52" spans="1:30" x14ac:dyDescent="0.25">
      <c r="A52" s="1"/>
      <c r="B52" s="121"/>
      <c r="C52" s="126" t="s">
        <v>96</v>
      </c>
      <c r="D52" s="127">
        <v>168.5</v>
      </c>
      <c r="E52" s="127">
        <v>0</v>
      </c>
      <c r="F52" s="127">
        <v>0</v>
      </c>
      <c r="G52" s="128">
        <f t="shared" si="22"/>
        <v>168.5</v>
      </c>
      <c r="H52" s="106"/>
      <c r="I52" s="3"/>
      <c r="J52" s="129">
        <f t="shared" ref="J52" si="25">G52+H52-I52</f>
        <v>168.5</v>
      </c>
      <c r="K52" s="130">
        <v>0</v>
      </c>
      <c r="L52" s="130">
        <v>0</v>
      </c>
      <c r="M52" s="129">
        <f t="shared" si="24"/>
        <v>168.5</v>
      </c>
      <c r="N52" s="3"/>
      <c r="O52" s="3"/>
      <c r="P52" s="130">
        <v>168.5</v>
      </c>
      <c r="Q52" s="130">
        <v>28.2</v>
      </c>
      <c r="R52" s="130">
        <v>0</v>
      </c>
      <c r="S52" s="129">
        <f>P52+Q52-R52</f>
        <v>196.7</v>
      </c>
      <c r="T52" s="3"/>
      <c r="U52" s="3"/>
      <c r="V52" s="129">
        <v>196.7</v>
      </c>
      <c r="W52" s="130">
        <v>0</v>
      </c>
      <c r="X52" s="130">
        <v>0</v>
      </c>
      <c r="Y52" s="129">
        <f t="shared" si="23"/>
        <v>196.7</v>
      </c>
      <c r="Z52" s="3"/>
      <c r="AA52" s="3"/>
      <c r="AB52" s="3"/>
      <c r="AC52" s="3"/>
      <c r="AD52" s="3"/>
    </row>
    <row r="53" spans="1:30" x14ac:dyDescent="0.25">
      <c r="A53" s="1"/>
      <c r="B53" s="121"/>
      <c r="C53" s="131" t="s">
        <v>97</v>
      </c>
      <c r="D53" s="127">
        <v>103.4</v>
      </c>
      <c r="E53" s="127">
        <v>219.8</v>
      </c>
      <c r="F53" s="127">
        <v>119.3</v>
      </c>
      <c r="G53" s="128">
        <f t="shared" si="22"/>
        <v>203.90000000000003</v>
      </c>
      <c r="H53" s="106"/>
      <c r="I53" s="3"/>
      <c r="J53" s="129">
        <v>109.4</v>
      </c>
      <c r="K53" s="130">
        <v>230</v>
      </c>
      <c r="L53" s="130">
        <v>339.4</v>
      </c>
      <c r="M53" s="129">
        <f t="shared" si="24"/>
        <v>0</v>
      </c>
      <c r="N53" s="3"/>
      <c r="O53" s="3"/>
      <c r="P53" s="130">
        <v>203.9</v>
      </c>
      <c r="Q53" s="130">
        <v>54.5</v>
      </c>
      <c r="R53" s="130">
        <v>43.6</v>
      </c>
      <c r="S53" s="129">
        <f>P53+Q53-R53</f>
        <v>214.79999999999998</v>
      </c>
      <c r="T53" s="3"/>
      <c r="U53" s="3"/>
      <c r="V53" s="129">
        <f t="shared" ref="V53" si="26">S53+T53-U53</f>
        <v>214.79999999999998</v>
      </c>
      <c r="W53" s="130">
        <v>267</v>
      </c>
      <c r="X53" s="130">
        <v>267</v>
      </c>
      <c r="Y53" s="129">
        <f t="shared" si="23"/>
        <v>214.79999999999995</v>
      </c>
      <c r="Z53" s="3"/>
      <c r="AA53" s="3"/>
      <c r="AB53" s="3"/>
      <c r="AC53" s="3"/>
      <c r="AD53" s="3"/>
    </row>
    <row r="54" spans="1:30" ht="10.5" customHeight="1" x14ac:dyDescent="0.25">
      <c r="A54" s="1"/>
      <c r="B54" s="121"/>
      <c r="C54" s="104"/>
      <c r="D54" s="106"/>
      <c r="E54" s="106"/>
      <c r="F54" s="106"/>
      <c r="G54" s="106"/>
      <c r="H54" s="106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x14ac:dyDescent="0.25">
      <c r="A55" s="1"/>
      <c r="B55" s="121"/>
      <c r="C55" s="124" t="s">
        <v>98</v>
      </c>
      <c r="D55" s="125" t="s">
        <v>99</v>
      </c>
      <c r="E55" s="125" t="s">
        <v>100</v>
      </c>
      <c r="F55" s="106"/>
      <c r="G55" s="106"/>
      <c r="H55" s="106"/>
      <c r="I55" s="113"/>
      <c r="J55" s="125" t="s">
        <v>101</v>
      </c>
      <c r="K55" s="106"/>
      <c r="L55" s="106"/>
      <c r="M55" s="106"/>
      <c r="N55" s="106"/>
      <c r="O55" s="113"/>
      <c r="P55" s="125" t="s">
        <v>102</v>
      </c>
      <c r="Q55" s="113"/>
      <c r="R55" s="113"/>
      <c r="S55" s="113"/>
      <c r="T55" s="113"/>
      <c r="U55" s="113"/>
      <c r="V55" s="125" t="s">
        <v>101</v>
      </c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1"/>
      <c r="B56" s="121"/>
      <c r="C56" s="126"/>
      <c r="D56" s="132">
        <v>33.799999999999997</v>
      </c>
      <c r="E56" s="132">
        <v>37</v>
      </c>
      <c r="F56" s="106"/>
      <c r="G56" s="106"/>
      <c r="H56" s="106"/>
      <c r="I56" s="113"/>
      <c r="J56" s="132">
        <v>37</v>
      </c>
      <c r="K56" s="106"/>
      <c r="L56" s="106"/>
      <c r="M56" s="106"/>
      <c r="N56" s="106"/>
      <c r="O56" s="113"/>
      <c r="P56" s="132">
        <v>34.25</v>
      </c>
      <c r="Q56" s="113"/>
      <c r="R56" s="113"/>
      <c r="S56" s="113"/>
      <c r="T56" s="113"/>
      <c r="U56" s="113"/>
      <c r="V56" s="132">
        <v>37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1"/>
      <c r="B57" s="121"/>
      <c r="C57" s="104"/>
      <c r="D57" s="106"/>
      <c r="E57" s="106"/>
      <c r="F57" s="106"/>
      <c r="G57" s="106"/>
      <c r="H57" s="106"/>
      <c r="I57" s="113"/>
      <c r="J57" s="106"/>
      <c r="K57" s="106"/>
      <c r="L57" s="106"/>
      <c r="M57" s="106"/>
      <c r="N57" s="106"/>
      <c r="O57" s="113"/>
      <c r="P57" s="113"/>
      <c r="Q57" s="113"/>
      <c r="R57" s="113"/>
      <c r="S57" s="113"/>
      <c r="T57" s="113"/>
      <c r="U57" s="113"/>
      <c r="V57" s="3"/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1"/>
      <c r="B58" s="133" t="s">
        <v>103</v>
      </c>
      <c r="C58" s="134"/>
      <c r="D58" s="204"/>
      <c r="E58" s="204"/>
      <c r="F58" s="204"/>
      <c r="G58" s="204"/>
      <c r="H58" s="204"/>
      <c r="I58" s="204"/>
      <c r="J58" s="204"/>
      <c r="K58" s="204"/>
      <c r="L58" s="204"/>
      <c r="M58" s="204"/>
      <c r="N58" s="204"/>
      <c r="O58" s="204"/>
      <c r="P58" s="204"/>
      <c r="Q58" s="204"/>
      <c r="R58" s="204"/>
      <c r="S58" s="204"/>
      <c r="T58" s="204"/>
      <c r="U58" s="204"/>
      <c r="V58" s="135"/>
      <c r="W58" s="135"/>
      <c r="X58" s="135"/>
      <c r="Y58" s="135"/>
      <c r="Z58" s="135"/>
      <c r="AA58" s="135"/>
      <c r="AB58" s="136"/>
      <c r="AC58" s="3"/>
      <c r="AD58" s="3"/>
    </row>
    <row r="59" spans="1:30" x14ac:dyDescent="0.25">
      <c r="A59" s="1"/>
      <c r="B59" s="137" t="s">
        <v>104</v>
      </c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38"/>
      <c r="AC59" s="3"/>
      <c r="AD59" s="3"/>
    </row>
    <row r="60" spans="1:30" x14ac:dyDescent="0.25">
      <c r="A60" s="1"/>
      <c r="B60" s="186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08"/>
      <c r="W60" s="108"/>
      <c r="X60" s="108"/>
      <c r="Y60" s="108"/>
      <c r="Z60" s="108"/>
      <c r="AA60" s="108"/>
      <c r="AB60" s="138"/>
      <c r="AC60" s="3"/>
      <c r="AD60" s="3"/>
    </row>
    <row r="61" spans="1:30" x14ac:dyDescent="0.25">
      <c r="A61" s="1"/>
      <c r="B61" s="186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08"/>
      <c r="W61" s="108"/>
      <c r="X61" s="108"/>
      <c r="Y61" s="108"/>
      <c r="Z61" s="108"/>
      <c r="AA61" s="108"/>
      <c r="AB61" s="138"/>
      <c r="AC61" s="3"/>
      <c r="AD61" s="3"/>
    </row>
    <row r="62" spans="1:30" x14ac:dyDescent="0.25">
      <c r="A62" s="1"/>
      <c r="B62" s="186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08"/>
      <c r="W62" s="108"/>
      <c r="X62" s="108"/>
      <c r="Y62" s="108"/>
      <c r="Z62" s="108"/>
      <c r="AA62" s="108"/>
      <c r="AB62" s="138"/>
      <c r="AC62" s="3"/>
      <c r="AD62" s="3"/>
    </row>
    <row r="63" spans="1:30" x14ac:dyDescent="0.25">
      <c r="A63" s="1"/>
      <c r="B63" s="139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08"/>
      <c r="W63" s="108"/>
      <c r="X63" s="108"/>
      <c r="Y63" s="108"/>
      <c r="Z63" s="108"/>
      <c r="AA63" s="108"/>
      <c r="AB63" s="138"/>
      <c r="AC63" s="3"/>
      <c r="AD63" s="3"/>
    </row>
    <row r="64" spans="1:30" x14ac:dyDescent="0.25">
      <c r="A64" s="1"/>
      <c r="B64" s="139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08"/>
      <c r="W64" s="108"/>
      <c r="X64" s="108"/>
      <c r="Y64" s="108"/>
      <c r="Z64" s="108"/>
      <c r="AA64" s="108"/>
      <c r="AB64" s="138"/>
      <c r="AC64" s="3"/>
      <c r="AD64" s="3"/>
    </row>
    <row r="65" spans="1:30" x14ac:dyDescent="0.25">
      <c r="A65" s="1"/>
      <c r="B65" s="139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08"/>
      <c r="W65" s="108"/>
      <c r="X65" s="108"/>
      <c r="Y65" s="108"/>
      <c r="Z65" s="108"/>
      <c r="AA65" s="108"/>
      <c r="AB65" s="138"/>
      <c r="AC65" s="3"/>
      <c r="AD65" s="3"/>
    </row>
    <row r="66" spans="1:30" x14ac:dyDescent="0.25">
      <c r="A66" s="1"/>
      <c r="B66" s="139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08"/>
      <c r="W66" s="108"/>
      <c r="X66" s="108"/>
      <c r="Y66" s="108"/>
      <c r="Z66" s="108"/>
      <c r="AA66" s="108"/>
      <c r="AB66" s="138"/>
      <c r="AC66" s="3"/>
      <c r="AD66" s="3"/>
    </row>
    <row r="67" spans="1:30" x14ac:dyDescent="0.25">
      <c r="A67" s="1"/>
      <c r="B67" s="139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08"/>
      <c r="W67" s="108"/>
      <c r="X67" s="108"/>
      <c r="Y67" s="108"/>
      <c r="Z67" s="108"/>
      <c r="AA67" s="108"/>
      <c r="AB67" s="138"/>
      <c r="AC67" s="3"/>
      <c r="AD67" s="3"/>
    </row>
    <row r="68" spans="1:30" x14ac:dyDescent="0.25">
      <c r="A68" s="1"/>
      <c r="B68" s="139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08"/>
      <c r="W68" s="108"/>
      <c r="X68" s="108"/>
      <c r="Y68" s="108"/>
      <c r="Z68" s="108"/>
      <c r="AA68" s="108"/>
      <c r="AB68" s="138"/>
      <c r="AC68" s="3"/>
      <c r="AD68" s="3"/>
    </row>
    <row r="69" spans="1:30" x14ac:dyDescent="0.25">
      <c r="A69" s="1"/>
      <c r="B69" s="139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08"/>
      <c r="W69" s="108"/>
      <c r="X69" s="108"/>
      <c r="Y69" s="108"/>
      <c r="Z69" s="108"/>
      <c r="AA69" s="108"/>
      <c r="AB69" s="138"/>
      <c r="AC69" s="3"/>
      <c r="AD69" s="3"/>
    </row>
    <row r="70" spans="1:30" x14ac:dyDescent="0.25">
      <c r="A70" s="1"/>
      <c r="B70" s="139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08"/>
      <c r="W70" s="108"/>
      <c r="X70" s="108"/>
      <c r="Y70" s="108"/>
      <c r="Z70" s="108"/>
      <c r="AA70" s="108"/>
      <c r="AB70" s="138"/>
      <c r="AC70" s="3"/>
      <c r="AD70" s="3"/>
    </row>
    <row r="71" spans="1:30" x14ac:dyDescent="0.25">
      <c r="A71" s="1"/>
      <c r="B71" s="139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08"/>
      <c r="W71" s="108"/>
      <c r="X71" s="108"/>
      <c r="Y71" s="108"/>
      <c r="Z71" s="108"/>
      <c r="AA71" s="108"/>
      <c r="AB71" s="138"/>
      <c r="AC71" s="3"/>
      <c r="AD71" s="3"/>
    </row>
    <row r="72" spans="1:30" x14ac:dyDescent="0.25">
      <c r="A72" s="1"/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08"/>
      <c r="W72" s="108"/>
      <c r="X72" s="108"/>
      <c r="Y72" s="108"/>
      <c r="Z72" s="108"/>
      <c r="AA72" s="108"/>
      <c r="AB72" s="138"/>
      <c r="AC72" s="3"/>
      <c r="AD72" s="3"/>
    </row>
    <row r="73" spans="1:30" x14ac:dyDescent="0.25">
      <c r="A73" s="1"/>
      <c r="B73" s="139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08"/>
      <c r="W73" s="108"/>
      <c r="X73" s="108"/>
      <c r="Y73" s="108"/>
      <c r="Z73" s="108"/>
      <c r="AA73" s="108"/>
      <c r="AB73" s="138"/>
      <c r="AC73" s="3"/>
      <c r="AD73" s="3"/>
    </row>
    <row r="74" spans="1:30" x14ac:dyDescent="0.25">
      <c r="A74" s="1"/>
      <c r="B74" s="139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08"/>
      <c r="W74" s="108"/>
      <c r="X74" s="108"/>
      <c r="Y74" s="108"/>
      <c r="Z74" s="108"/>
      <c r="AA74" s="108"/>
      <c r="AB74" s="138"/>
      <c r="AC74" s="3"/>
      <c r="AD74" s="3"/>
    </row>
    <row r="75" spans="1:30" x14ac:dyDescent="0.25">
      <c r="A75" s="1"/>
      <c r="B75" s="139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08"/>
      <c r="W75" s="108"/>
      <c r="X75" s="108"/>
      <c r="Y75" s="108"/>
      <c r="Z75" s="108"/>
      <c r="AA75" s="108"/>
      <c r="AB75" s="138"/>
      <c r="AC75" s="3"/>
      <c r="AD75" s="3"/>
    </row>
    <row r="76" spans="1:30" x14ac:dyDescent="0.25">
      <c r="A76" s="1"/>
      <c r="B76" s="139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08"/>
      <c r="W76" s="108"/>
      <c r="X76" s="108"/>
      <c r="Y76" s="108"/>
      <c r="Z76" s="108"/>
      <c r="AA76" s="108"/>
      <c r="AB76" s="138"/>
      <c r="AC76" s="3"/>
      <c r="AD76" s="3"/>
    </row>
    <row r="77" spans="1:30" x14ac:dyDescent="0.25">
      <c r="A77" s="1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08"/>
      <c r="W77" s="108"/>
      <c r="X77" s="108"/>
      <c r="Y77" s="108"/>
      <c r="Z77" s="108"/>
      <c r="AA77" s="108"/>
      <c r="AB77" s="138"/>
      <c r="AC77" s="3"/>
      <c r="AD77" s="3"/>
    </row>
    <row r="78" spans="1:30" x14ac:dyDescent="0.25">
      <c r="A78" s="1"/>
      <c r="B78" s="139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08"/>
      <c r="W78" s="108"/>
      <c r="X78" s="108"/>
      <c r="Y78" s="108"/>
      <c r="Z78" s="108"/>
      <c r="AA78" s="108"/>
      <c r="AB78" s="138"/>
      <c r="AC78" s="3"/>
      <c r="AD78" s="3"/>
    </row>
    <row r="79" spans="1:30" x14ac:dyDescent="0.25">
      <c r="A79" s="1"/>
      <c r="B79" s="139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08"/>
      <c r="W79" s="108"/>
      <c r="X79" s="108"/>
      <c r="Y79" s="108"/>
      <c r="Z79" s="108"/>
      <c r="AA79" s="108"/>
      <c r="AB79" s="138"/>
      <c r="AC79" s="3"/>
      <c r="AD79" s="3"/>
    </row>
    <row r="80" spans="1:30" x14ac:dyDescent="0.25">
      <c r="A80" s="1"/>
      <c r="B80" s="139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08"/>
      <c r="W80" s="108"/>
      <c r="X80" s="108"/>
      <c r="Y80" s="108"/>
      <c r="Z80" s="108"/>
      <c r="AA80" s="108"/>
      <c r="AB80" s="138"/>
      <c r="AC80" s="3"/>
      <c r="AD80" s="3"/>
    </row>
    <row r="81" spans="1:30" x14ac:dyDescent="0.25">
      <c r="A81" s="1"/>
      <c r="B81" s="186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08"/>
      <c r="W81" s="108"/>
      <c r="X81" s="108"/>
      <c r="Y81" s="108"/>
      <c r="Z81" s="108"/>
      <c r="AA81" s="108"/>
      <c r="AB81" s="138"/>
      <c r="AC81" s="3"/>
      <c r="AD81" s="3"/>
    </row>
    <row r="82" spans="1:30" x14ac:dyDescent="0.25">
      <c r="A82" s="1"/>
      <c r="B82" s="141"/>
      <c r="C82" s="142"/>
      <c r="D82" s="142"/>
      <c r="E82" s="142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08"/>
      <c r="W82" s="108"/>
      <c r="X82" s="108"/>
      <c r="Y82" s="108"/>
      <c r="Z82" s="108"/>
      <c r="AA82" s="108"/>
      <c r="AB82" s="138"/>
      <c r="AC82" s="3"/>
      <c r="AD82" s="3"/>
    </row>
    <row r="83" spans="1:30" x14ac:dyDescent="0.25">
      <c r="A83" s="1"/>
      <c r="B83" s="143"/>
      <c r="C83" s="144"/>
      <c r="D83" s="145"/>
      <c r="E83" s="145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08"/>
      <c r="W83" s="108"/>
      <c r="X83" s="108"/>
      <c r="Y83" s="108"/>
      <c r="Z83" s="108"/>
      <c r="AA83" s="108"/>
      <c r="AB83" s="138"/>
      <c r="AC83" s="3"/>
      <c r="AD83" s="3"/>
    </row>
    <row r="84" spans="1:30" x14ac:dyDescent="0.25">
      <c r="A84" s="1"/>
      <c r="B84" s="141"/>
      <c r="C84" s="146"/>
      <c r="D84" s="145"/>
      <c r="E84" s="145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08"/>
      <c r="W84" s="108"/>
      <c r="X84" s="108"/>
      <c r="Y84" s="108"/>
      <c r="Z84" s="108"/>
      <c r="AA84" s="108"/>
      <c r="AB84" s="138"/>
      <c r="AC84" s="3"/>
      <c r="AD84" s="3"/>
    </row>
    <row r="85" spans="1:30" x14ac:dyDescent="0.25">
      <c r="A85" s="1"/>
      <c r="B85" s="141"/>
      <c r="C85" s="146"/>
      <c r="D85" s="145"/>
      <c r="E85" s="145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08"/>
      <c r="W85" s="108"/>
      <c r="X85" s="108"/>
      <c r="Y85" s="108"/>
      <c r="Z85" s="108"/>
      <c r="AA85" s="108"/>
      <c r="AB85" s="138"/>
      <c r="AC85" s="3"/>
      <c r="AD85" s="3"/>
    </row>
    <row r="86" spans="1:30" x14ac:dyDescent="0.25">
      <c r="A86" s="1"/>
      <c r="B86" s="147"/>
      <c r="C86" s="148"/>
      <c r="D86" s="149"/>
      <c r="E86" s="149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1"/>
      <c r="W86" s="151"/>
      <c r="X86" s="151"/>
      <c r="Y86" s="151"/>
      <c r="Z86" s="151"/>
      <c r="AA86" s="151"/>
      <c r="AB86" s="152"/>
      <c r="AC86" s="3"/>
      <c r="AD86" s="3"/>
    </row>
    <row r="87" spans="1:30" x14ac:dyDescent="0.25">
      <c r="A87" s="102"/>
      <c r="B87" s="153"/>
      <c r="C87" s="154"/>
      <c r="D87" s="153"/>
      <c r="E87" s="153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3"/>
      <c r="W87" s="3"/>
      <c r="X87" s="3"/>
      <c r="Y87" s="3"/>
      <c r="Z87" s="3"/>
      <c r="AA87" s="3"/>
      <c r="AB87" s="3"/>
      <c r="AC87" s="3"/>
      <c r="AD87" s="3"/>
    </row>
    <row r="88" spans="1:30" x14ac:dyDescent="0.25">
      <c r="A88" s="102"/>
      <c r="B88" s="153"/>
      <c r="C88" s="154"/>
      <c r="D88" s="153"/>
      <c r="E88" s="153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1"/>
      <c r="B89" s="156"/>
      <c r="C89" s="156"/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1"/>
      <c r="B90" s="156" t="s">
        <v>105</v>
      </c>
      <c r="C90" s="157">
        <v>43752</v>
      </c>
      <c r="D90" s="156" t="s">
        <v>106</v>
      </c>
      <c r="E90" s="187" t="s">
        <v>107</v>
      </c>
      <c r="F90" s="187"/>
      <c r="G90" s="187"/>
      <c r="H90" s="156"/>
      <c r="I90" s="156" t="s">
        <v>108</v>
      </c>
      <c r="J90" s="188" t="s">
        <v>144</v>
      </c>
      <c r="K90" s="188"/>
      <c r="L90" s="188"/>
      <c r="M90" s="188"/>
      <c r="N90" s="156"/>
      <c r="O90" s="156"/>
      <c r="P90" s="156"/>
      <c r="Q90" s="156"/>
      <c r="R90" s="156"/>
      <c r="S90" s="156"/>
      <c r="T90" s="156"/>
      <c r="U90" s="156"/>
      <c r="V90" s="3"/>
      <c r="W90" s="3"/>
      <c r="X90" s="3"/>
      <c r="Y90" s="3"/>
      <c r="Z90" s="3"/>
      <c r="AA90" s="3"/>
      <c r="AB90" s="3"/>
      <c r="AC90" s="3"/>
      <c r="AD90" s="3"/>
    </row>
    <row r="91" spans="1:30" ht="7.5" customHeight="1" x14ac:dyDescent="0.25">
      <c r="A91" s="1"/>
      <c r="B91" s="156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56"/>
      <c r="R91" s="156"/>
      <c r="S91" s="156"/>
      <c r="T91" s="156"/>
      <c r="U91" s="156"/>
      <c r="V91" s="3"/>
      <c r="W91" s="3"/>
      <c r="X91" s="3"/>
      <c r="Y91" s="3"/>
      <c r="Z91" s="3"/>
      <c r="AA91" s="3"/>
      <c r="AB91" s="3"/>
      <c r="AC91" s="3"/>
      <c r="AD91" s="3"/>
    </row>
    <row r="92" spans="1:30" x14ac:dyDescent="0.25">
      <c r="A92" s="1"/>
      <c r="B92" s="156"/>
      <c r="C92" s="156"/>
      <c r="D92" s="156" t="s">
        <v>109</v>
      </c>
      <c r="E92" s="158"/>
      <c r="F92" s="158"/>
      <c r="G92" s="158"/>
      <c r="H92" s="156"/>
      <c r="I92" s="156" t="s">
        <v>109</v>
      </c>
      <c r="J92" s="159"/>
      <c r="K92" s="159"/>
      <c r="L92" s="159"/>
      <c r="M92" s="159"/>
      <c r="N92" s="156"/>
      <c r="O92" s="156"/>
      <c r="P92" s="156"/>
      <c r="Q92" s="156"/>
      <c r="R92" s="156"/>
      <c r="S92" s="156"/>
      <c r="T92" s="156"/>
      <c r="U92" s="156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1"/>
      <c r="B93" s="156"/>
      <c r="C93" s="156"/>
      <c r="D93" s="156"/>
      <c r="E93" s="158"/>
      <c r="F93" s="158"/>
      <c r="G93" s="158"/>
      <c r="H93" s="156"/>
      <c r="I93" s="156"/>
      <c r="J93" s="159"/>
      <c r="K93" s="159"/>
      <c r="L93" s="159"/>
      <c r="M93" s="159"/>
      <c r="N93" s="156"/>
      <c r="O93" s="156"/>
      <c r="P93" s="156"/>
      <c r="Q93" s="156"/>
      <c r="R93" s="156"/>
      <c r="S93" s="156"/>
      <c r="T93" s="156"/>
      <c r="U93" s="156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1"/>
      <c r="B94" s="156"/>
      <c r="C94" s="156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1"/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3"/>
      <c r="W95" s="3"/>
      <c r="X95" s="3"/>
      <c r="Y95" s="3"/>
      <c r="Z95" s="3"/>
      <c r="AA95" s="3"/>
      <c r="AB95" s="3"/>
      <c r="AC95" s="3"/>
      <c r="AD95" s="3"/>
    </row>
    <row r="96" spans="1:30" hidden="1" x14ac:dyDescent="0.25">
      <c r="AC96" s="4"/>
      <c r="AD96" s="4"/>
    </row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t="15" hidden="1" customHeight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t="15" hidden="1" customHeight="1" x14ac:dyDescent="0.25"/>
    <row r="127" ht="15" hidden="1" customHeight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x14ac:dyDescent="0.25"/>
  </sheetData>
  <mergeCells count="65"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AA13:AA14"/>
    <mergeCell ref="AB25:AB27"/>
    <mergeCell ref="J26:L26"/>
    <mergeCell ref="M26:M27"/>
    <mergeCell ref="N26:N27"/>
    <mergeCell ref="O26:O27"/>
    <mergeCell ref="Z26:Z27"/>
    <mergeCell ref="AA26:AA27"/>
    <mergeCell ref="V26:X26"/>
    <mergeCell ref="Y26:Y27"/>
    <mergeCell ref="D25:I25"/>
    <mergeCell ref="J25:O25"/>
    <mergeCell ref="P25:U25"/>
    <mergeCell ref="V25:AA25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B60:U60"/>
    <mergeCell ref="P26:R26"/>
    <mergeCell ref="S26:S27"/>
    <mergeCell ref="T26:T27"/>
    <mergeCell ref="U26:U27"/>
    <mergeCell ref="B26:B27"/>
    <mergeCell ref="C26:C27"/>
    <mergeCell ref="D26:F26"/>
    <mergeCell ref="G26:G27"/>
    <mergeCell ref="H26:H27"/>
    <mergeCell ref="I26:I27"/>
    <mergeCell ref="C43:C44"/>
    <mergeCell ref="C46:C47"/>
    <mergeCell ref="D58:U58"/>
    <mergeCell ref="B61:U61"/>
    <mergeCell ref="B62:U62"/>
    <mergeCell ref="B81:U81"/>
    <mergeCell ref="E90:G90"/>
    <mergeCell ref="J90:M90"/>
  </mergeCells>
  <conditionalFormatting sqref="AB15:AB25">
    <cfRule type="cellIs" dxfId="19" priority="3" operator="equal">
      <formula>0</formula>
    </cfRule>
    <cfRule type="containsErrors" dxfId="18" priority="4">
      <formula>ISERROR(AB15)</formula>
    </cfRule>
  </conditionalFormatting>
  <conditionalFormatting sqref="AB28:AB41">
    <cfRule type="cellIs" dxfId="17" priority="1" operator="equal">
      <formula>0</formula>
    </cfRule>
    <cfRule type="containsErrors" dxfId="16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8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279"/>
  <sheetViews>
    <sheetView showGridLines="0" zoomScale="80" zoomScaleNormal="80" zoomScaleSheetLayoutView="80" workbookViewId="0">
      <selection activeCell="Y55" sqref="Y55"/>
    </sheetView>
  </sheetViews>
  <sheetFormatPr defaultColWidth="0" defaultRowHeight="15" zeroHeight="1" x14ac:dyDescent="0.25"/>
  <cols>
    <col min="1" max="1" width="4.5703125" customWidth="1"/>
    <col min="2" max="2" width="9.28515625" customWidth="1"/>
    <col min="3" max="3" width="65.7109375" customWidth="1"/>
    <col min="4" max="4" width="16.5703125" customWidth="1"/>
    <col min="5" max="5" width="17.7109375" bestFit="1" customWidth="1"/>
    <col min="6" max="6" width="16.7109375" bestFit="1" customWidth="1"/>
    <col min="7" max="7" width="21.28515625" bestFit="1" customWidth="1"/>
    <col min="8" max="8" width="14.28515625" customWidth="1"/>
    <col min="9" max="9" width="11.28515625" customWidth="1"/>
    <col min="10" max="10" width="16.28515625" bestFit="1" customWidth="1"/>
    <col min="11" max="11" width="17.7109375" bestFit="1" customWidth="1"/>
    <col min="12" max="12" width="13.7109375" bestFit="1" customWidth="1"/>
    <col min="13" max="13" width="23.42578125" style="160" bestFit="1" customWidth="1"/>
    <col min="14" max="14" width="13.28515625" customWidth="1"/>
    <col min="15" max="15" width="11.28515625" customWidth="1"/>
    <col min="16" max="18" width="16.42578125" customWidth="1"/>
    <col min="19" max="19" width="21.28515625" customWidth="1"/>
    <col min="20" max="20" width="12.42578125" customWidth="1"/>
    <col min="21" max="21" width="10.7109375" bestFit="1" customWidth="1"/>
    <col min="22" max="22" width="16.28515625" bestFit="1" customWidth="1"/>
    <col min="23" max="23" width="14.28515625" bestFit="1" customWidth="1"/>
    <col min="24" max="24" width="13.28515625" bestFit="1" customWidth="1"/>
    <col min="25" max="25" width="21.7109375" customWidth="1"/>
    <col min="26" max="26" width="12.5703125" customWidth="1"/>
    <col min="27" max="27" width="10.7109375" bestFit="1" customWidth="1"/>
    <col min="28" max="28" width="17.7109375" customWidth="1"/>
    <col min="29" max="29" width="5.7109375" customWidth="1"/>
    <col min="30" max="30" width="0" hidden="1" customWidth="1"/>
    <col min="31" max="16384" width="9.28515625" style="4" hidden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1"/>
      <c r="B2" s="5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1"/>
      <c r="B4" s="1" t="s">
        <v>1</v>
      </c>
      <c r="C4" s="1"/>
      <c r="D4" s="232" t="s">
        <v>110</v>
      </c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1"/>
      <c r="B6" s="1" t="s">
        <v>3</v>
      </c>
      <c r="C6" s="1"/>
      <c r="D6" s="161">
        <v>46790080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1"/>
      <c r="B7" s="1"/>
      <c r="C7" s="1"/>
      <c r="D7" s="7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1"/>
      <c r="B8" s="1" t="s">
        <v>4</v>
      </c>
      <c r="C8" s="1"/>
      <c r="D8" s="233" t="s">
        <v>111</v>
      </c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1"/>
      <c r="B10" s="234" t="s">
        <v>6</v>
      </c>
      <c r="C10" s="199" t="s">
        <v>7</v>
      </c>
      <c r="D10" s="220" t="s">
        <v>8</v>
      </c>
      <c r="E10" s="221"/>
      <c r="F10" s="221"/>
      <c r="G10" s="221"/>
      <c r="H10" s="221"/>
      <c r="I10" s="222"/>
      <c r="J10" s="220" t="s">
        <v>9</v>
      </c>
      <c r="K10" s="221"/>
      <c r="L10" s="221"/>
      <c r="M10" s="221"/>
      <c r="N10" s="221"/>
      <c r="O10" s="222"/>
      <c r="P10" s="220" t="s">
        <v>10</v>
      </c>
      <c r="Q10" s="221"/>
      <c r="R10" s="221"/>
      <c r="S10" s="221"/>
      <c r="T10" s="221"/>
      <c r="U10" s="222"/>
      <c r="V10" s="220" t="s">
        <v>11</v>
      </c>
      <c r="W10" s="221"/>
      <c r="X10" s="221"/>
      <c r="Y10" s="221"/>
      <c r="Z10" s="221"/>
      <c r="AA10" s="222"/>
      <c r="AB10" s="223" t="s">
        <v>12</v>
      </c>
      <c r="AC10" s="3"/>
      <c r="AD10" s="3"/>
    </row>
    <row r="11" spans="1:30" ht="30.75" customHeight="1" thickBot="1" x14ac:dyDescent="0.3">
      <c r="A11" s="1"/>
      <c r="B11" s="235"/>
      <c r="C11" s="200"/>
      <c r="D11" s="226" t="s">
        <v>13</v>
      </c>
      <c r="E11" s="227"/>
      <c r="F11" s="227"/>
      <c r="G11" s="228"/>
      <c r="H11" s="8" t="s">
        <v>14</v>
      </c>
      <c r="I11" s="8" t="s">
        <v>15</v>
      </c>
      <c r="J11" s="226" t="s">
        <v>13</v>
      </c>
      <c r="K11" s="227"/>
      <c r="L11" s="227"/>
      <c r="M11" s="228"/>
      <c r="N11" s="8" t="s">
        <v>14</v>
      </c>
      <c r="O11" s="8" t="s">
        <v>15</v>
      </c>
      <c r="P11" s="226" t="s">
        <v>13</v>
      </c>
      <c r="Q11" s="227"/>
      <c r="R11" s="227"/>
      <c r="S11" s="228"/>
      <c r="T11" s="8" t="s">
        <v>14</v>
      </c>
      <c r="U11" s="8" t="s">
        <v>15</v>
      </c>
      <c r="V11" s="226" t="s">
        <v>13</v>
      </c>
      <c r="W11" s="227"/>
      <c r="X11" s="227"/>
      <c r="Y11" s="228"/>
      <c r="Z11" s="8" t="s">
        <v>14</v>
      </c>
      <c r="AA11" s="8" t="s">
        <v>15</v>
      </c>
      <c r="AB11" s="224"/>
      <c r="AC11" s="3"/>
      <c r="AD11" s="3"/>
    </row>
    <row r="12" spans="1:30" ht="15.75" customHeight="1" thickBot="1" x14ac:dyDescent="0.3">
      <c r="A12" s="1"/>
      <c r="B12" s="235"/>
      <c r="C12" s="237"/>
      <c r="D12" s="229" t="s">
        <v>16</v>
      </c>
      <c r="E12" s="230"/>
      <c r="F12" s="230"/>
      <c r="G12" s="230"/>
      <c r="H12" s="230"/>
      <c r="I12" s="231"/>
      <c r="J12" s="229" t="s">
        <v>16</v>
      </c>
      <c r="K12" s="230"/>
      <c r="L12" s="230"/>
      <c r="M12" s="230"/>
      <c r="N12" s="230"/>
      <c r="O12" s="231"/>
      <c r="P12" s="229" t="s">
        <v>16</v>
      </c>
      <c r="Q12" s="230"/>
      <c r="R12" s="230"/>
      <c r="S12" s="230"/>
      <c r="T12" s="230"/>
      <c r="U12" s="231"/>
      <c r="V12" s="229" t="s">
        <v>16</v>
      </c>
      <c r="W12" s="230"/>
      <c r="X12" s="230"/>
      <c r="Y12" s="230"/>
      <c r="Z12" s="230"/>
      <c r="AA12" s="231"/>
      <c r="AB12" s="224"/>
      <c r="AC12" s="3"/>
      <c r="AD12" s="3"/>
    </row>
    <row r="13" spans="1:30" ht="15.75" customHeight="1" thickBot="1" x14ac:dyDescent="0.3">
      <c r="A13" s="1"/>
      <c r="B13" s="236"/>
      <c r="C13" s="238"/>
      <c r="D13" s="215" t="s">
        <v>17</v>
      </c>
      <c r="E13" s="216"/>
      <c r="F13" s="216"/>
      <c r="G13" s="209" t="s">
        <v>18</v>
      </c>
      <c r="H13" s="211" t="s">
        <v>19</v>
      </c>
      <c r="I13" s="213" t="s">
        <v>16</v>
      </c>
      <c r="J13" s="215" t="s">
        <v>17</v>
      </c>
      <c r="K13" s="216"/>
      <c r="L13" s="216"/>
      <c r="M13" s="209" t="s">
        <v>18</v>
      </c>
      <c r="N13" s="211" t="s">
        <v>19</v>
      </c>
      <c r="O13" s="213" t="s">
        <v>16</v>
      </c>
      <c r="P13" s="215" t="s">
        <v>17</v>
      </c>
      <c r="Q13" s="216"/>
      <c r="R13" s="216"/>
      <c r="S13" s="209" t="s">
        <v>18</v>
      </c>
      <c r="T13" s="211" t="s">
        <v>19</v>
      </c>
      <c r="U13" s="213" t="s">
        <v>16</v>
      </c>
      <c r="V13" s="215" t="s">
        <v>17</v>
      </c>
      <c r="W13" s="216"/>
      <c r="X13" s="216"/>
      <c r="Y13" s="209" t="s">
        <v>18</v>
      </c>
      <c r="Z13" s="211" t="s">
        <v>19</v>
      </c>
      <c r="AA13" s="213" t="s">
        <v>16</v>
      </c>
      <c r="AB13" s="224"/>
      <c r="AC13" s="3"/>
      <c r="AD13" s="3"/>
    </row>
    <row r="14" spans="1:30" ht="15.75" thickBot="1" x14ac:dyDescent="0.3">
      <c r="A14" s="1"/>
      <c r="B14" s="9"/>
      <c r="C14" s="10"/>
      <c r="D14" s="11" t="s">
        <v>20</v>
      </c>
      <c r="E14" s="12" t="s">
        <v>21</v>
      </c>
      <c r="F14" s="12" t="s">
        <v>22</v>
      </c>
      <c r="G14" s="210"/>
      <c r="H14" s="212"/>
      <c r="I14" s="214"/>
      <c r="J14" s="11" t="s">
        <v>20</v>
      </c>
      <c r="K14" s="12" t="s">
        <v>21</v>
      </c>
      <c r="L14" s="12" t="s">
        <v>22</v>
      </c>
      <c r="M14" s="210"/>
      <c r="N14" s="212"/>
      <c r="O14" s="214"/>
      <c r="P14" s="11" t="s">
        <v>20</v>
      </c>
      <c r="Q14" s="12" t="s">
        <v>21</v>
      </c>
      <c r="R14" s="12" t="s">
        <v>22</v>
      </c>
      <c r="S14" s="210"/>
      <c r="T14" s="212"/>
      <c r="U14" s="214"/>
      <c r="V14" s="11" t="s">
        <v>20</v>
      </c>
      <c r="W14" s="12" t="s">
        <v>21</v>
      </c>
      <c r="X14" s="12" t="s">
        <v>22</v>
      </c>
      <c r="Y14" s="210"/>
      <c r="Z14" s="212"/>
      <c r="AA14" s="214"/>
      <c r="AB14" s="225"/>
      <c r="AC14" s="3"/>
      <c r="AD14" s="3"/>
    </row>
    <row r="15" spans="1:30" x14ac:dyDescent="0.25">
      <c r="A15" s="1"/>
      <c r="B15" s="13" t="s">
        <v>23</v>
      </c>
      <c r="C15" s="14" t="s">
        <v>24</v>
      </c>
      <c r="D15" s="16"/>
      <c r="E15" s="15"/>
      <c r="F15" s="20">
        <v>4985</v>
      </c>
      <c r="G15" s="17">
        <f>SUM(D15:F15)</f>
        <v>4985</v>
      </c>
      <c r="H15" s="18">
        <v>23</v>
      </c>
      <c r="I15" s="19">
        <f>G15+H15</f>
        <v>5008</v>
      </c>
      <c r="J15" s="16"/>
      <c r="K15" s="15"/>
      <c r="L15" s="20">
        <v>4150</v>
      </c>
      <c r="M15" s="17">
        <f t="shared" ref="M15:M23" si="0">SUM(J15:L15)</f>
        <v>4150</v>
      </c>
      <c r="N15" s="18">
        <v>20</v>
      </c>
      <c r="O15" s="19">
        <f>M15+N15</f>
        <v>4170</v>
      </c>
      <c r="P15" s="16"/>
      <c r="Q15" s="15"/>
      <c r="R15" s="20">
        <v>4788</v>
      </c>
      <c r="S15" s="17">
        <f>SUM(P15:R15)</f>
        <v>4788</v>
      </c>
      <c r="T15" s="18">
        <v>16</v>
      </c>
      <c r="U15" s="19">
        <f>S15+T15</f>
        <v>4804</v>
      </c>
      <c r="V15" s="16"/>
      <c r="W15" s="15"/>
      <c r="X15" s="20">
        <v>8000</v>
      </c>
      <c r="Y15" s="17">
        <f>SUM(X15)</f>
        <v>8000</v>
      </c>
      <c r="Z15" s="18">
        <v>25</v>
      </c>
      <c r="AA15" s="19">
        <f>Y15+Z15</f>
        <v>8025</v>
      </c>
      <c r="AB15" s="21">
        <f>(AA15/O15)</f>
        <v>1.9244604316546763</v>
      </c>
      <c r="AC15" s="3"/>
      <c r="AD15" s="3"/>
    </row>
    <row r="16" spans="1:30" x14ac:dyDescent="0.25">
      <c r="A16" s="1"/>
      <c r="B16" s="22" t="s">
        <v>25</v>
      </c>
      <c r="C16" s="23" t="s">
        <v>26</v>
      </c>
      <c r="D16" s="24">
        <v>4000</v>
      </c>
      <c r="E16" s="25"/>
      <c r="F16" s="25"/>
      <c r="G16" s="26">
        <f t="shared" ref="G16:G22" si="1">SUM(D16:F16)</f>
        <v>4000</v>
      </c>
      <c r="H16" s="27"/>
      <c r="I16" s="19">
        <f t="shared" ref="I16:I23" si="2">G16+H16</f>
        <v>4000</v>
      </c>
      <c r="J16" s="24">
        <v>4155</v>
      </c>
      <c r="K16" s="25"/>
      <c r="L16" s="25"/>
      <c r="M16" s="26">
        <f t="shared" si="0"/>
        <v>4155</v>
      </c>
      <c r="N16" s="27"/>
      <c r="O16" s="19">
        <f t="shared" ref="O16:O20" si="3">M16+N16</f>
        <v>4155</v>
      </c>
      <c r="P16" s="24">
        <v>2298</v>
      </c>
      <c r="Q16" s="25"/>
      <c r="R16" s="25"/>
      <c r="S16" s="26">
        <f t="shared" ref="S16:S23" si="4">SUM(P16:R16)</f>
        <v>2298</v>
      </c>
      <c r="T16" s="27"/>
      <c r="U16" s="19">
        <f t="shared" ref="U16:U20" si="5">S16+T16</f>
        <v>2298</v>
      </c>
      <c r="V16" s="24">
        <v>4680</v>
      </c>
      <c r="W16" s="25"/>
      <c r="X16" s="25"/>
      <c r="Y16" s="26">
        <f t="shared" ref="Y16:Y23" si="6">SUM(V16:X16)</f>
        <v>4680</v>
      </c>
      <c r="Z16" s="27"/>
      <c r="AA16" s="19">
        <f t="shared" ref="AA16:AA20" si="7">Y16+Z16</f>
        <v>4680</v>
      </c>
      <c r="AB16" s="21">
        <f t="shared" ref="AB16:AB24" si="8">(AA16/O16)</f>
        <v>1.1263537906137184</v>
      </c>
      <c r="AC16" s="3"/>
      <c r="AD16" s="3"/>
    </row>
    <row r="17" spans="1:30" x14ac:dyDescent="0.25">
      <c r="A17" s="1"/>
      <c r="B17" s="22" t="s">
        <v>27</v>
      </c>
      <c r="C17" s="28" t="s">
        <v>28</v>
      </c>
      <c r="D17" s="29"/>
      <c r="E17" s="30"/>
      <c r="F17" s="30"/>
      <c r="G17" s="26">
        <f t="shared" si="1"/>
        <v>0</v>
      </c>
      <c r="H17" s="31"/>
      <c r="I17" s="19">
        <f t="shared" si="2"/>
        <v>0</v>
      </c>
      <c r="J17" s="29"/>
      <c r="K17" s="30"/>
      <c r="L17" s="30"/>
      <c r="M17" s="26">
        <f t="shared" si="0"/>
        <v>0</v>
      </c>
      <c r="N17" s="31"/>
      <c r="O17" s="19">
        <f t="shared" si="3"/>
        <v>0</v>
      </c>
      <c r="P17" s="29"/>
      <c r="Q17" s="30"/>
      <c r="R17" s="30"/>
      <c r="S17" s="26">
        <f t="shared" si="4"/>
        <v>0</v>
      </c>
      <c r="T17" s="31"/>
      <c r="U17" s="19">
        <f t="shared" si="5"/>
        <v>0</v>
      </c>
      <c r="V17" s="29"/>
      <c r="W17" s="30"/>
      <c r="X17" s="30"/>
      <c r="Y17" s="26">
        <f t="shared" si="6"/>
        <v>0</v>
      </c>
      <c r="Z17" s="31"/>
      <c r="AA17" s="19">
        <f t="shared" si="7"/>
        <v>0</v>
      </c>
      <c r="AB17" s="21" t="e">
        <f t="shared" si="8"/>
        <v>#DIV/0!</v>
      </c>
      <c r="AC17" s="3"/>
      <c r="AD17" s="3"/>
    </row>
    <row r="18" spans="1:30" x14ac:dyDescent="0.25">
      <c r="A18" s="1"/>
      <c r="B18" s="22" t="s">
        <v>29</v>
      </c>
      <c r="C18" s="32" t="s">
        <v>30</v>
      </c>
      <c r="D18" s="33"/>
      <c r="E18" s="34">
        <v>3892</v>
      </c>
      <c r="F18" s="30"/>
      <c r="G18" s="26">
        <f t="shared" si="1"/>
        <v>3892</v>
      </c>
      <c r="H18" s="18"/>
      <c r="I18" s="19">
        <f t="shared" si="2"/>
        <v>3892</v>
      </c>
      <c r="J18" s="33"/>
      <c r="K18" s="34">
        <v>4500</v>
      </c>
      <c r="L18" s="30"/>
      <c r="M18" s="26">
        <f t="shared" si="0"/>
        <v>4500</v>
      </c>
      <c r="N18" s="18">
        <v>0</v>
      </c>
      <c r="O18" s="19">
        <f t="shared" si="3"/>
        <v>4500</v>
      </c>
      <c r="P18" s="33"/>
      <c r="Q18" s="34">
        <v>487</v>
      </c>
      <c r="R18" s="30"/>
      <c r="S18" s="26">
        <f t="shared" si="4"/>
        <v>487</v>
      </c>
      <c r="T18" s="18">
        <v>0</v>
      </c>
      <c r="U18" s="19">
        <f t="shared" si="5"/>
        <v>487</v>
      </c>
      <c r="V18" s="33"/>
      <c r="W18" s="34">
        <v>4500</v>
      </c>
      <c r="X18" s="30"/>
      <c r="Y18" s="26">
        <f t="shared" si="6"/>
        <v>4500</v>
      </c>
      <c r="Z18" s="18">
        <v>0</v>
      </c>
      <c r="AA18" s="19">
        <f t="shared" si="7"/>
        <v>4500</v>
      </c>
      <c r="AB18" s="21">
        <f t="shared" si="8"/>
        <v>1</v>
      </c>
      <c r="AC18" s="3"/>
      <c r="AD18" s="3"/>
    </row>
    <row r="19" spans="1:30" x14ac:dyDescent="0.25">
      <c r="A19" s="1"/>
      <c r="B19" s="22" t="s">
        <v>31</v>
      </c>
      <c r="C19" s="35" t="s">
        <v>32</v>
      </c>
      <c r="D19" s="36"/>
      <c r="E19" s="30"/>
      <c r="F19" s="37">
        <v>189</v>
      </c>
      <c r="G19" s="26">
        <v>189</v>
      </c>
      <c r="H19" s="38"/>
      <c r="I19" s="19">
        <f t="shared" si="2"/>
        <v>189</v>
      </c>
      <c r="J19" s="36"/>
      <c r="K19" s="30"/>
      <c r="L19" s="37">
        <v>190</v>
      </c>
      <c r="M19" s="26">
        <f t="shared" si="0"/>
        <v>190</v>
      </c>
      <c r="N19" s="38">
        <v>0</v>
      </c>
      <c r="O19" s="19">
        <f t="shared" si="3"/>
        <v>190</v>
      </c>
      <c r="P19" s="36"/>
      <c r="Q19" s="30"/>
      <c r="R19" s="37">
        <v>95</v>
      </c>
      <c r="S19" s="26">
        <f t="shared" si="4"/>
        <v>95</v>
      </c>
      <c r="T19" s="38">
        <v>0</v>
      </c>
      <c r="U19" s="19">
        <f t="shared" si="5"/>
        <v>95</v>
      </c>
      <c r="V19" s="36"/>
      <c r="W19" s="30"/>
      <c r="X19" s="37">
        <v>190</v>
      </c>
      <c r="Y19" s="26">
        <f t="shared" si="6"/>
        <v>190</v>
      </c>
      <c r="Z19" s="38">
        <v>0</v>
      </c>
      <c r="AA19" s="19">
        <f t="shared" si="7"/>
        <v>190</v>
      </c>
      <c r="AB19" s="21">
        <f t="shared" si="8"/>
        <v>1</v>
      </c>
      <c r="AC19" s="3"/>
      <c r="AD19" s="3"/>
    </row>
    <row r="20" spans="1:30" x14ac:dyDescent="0.25">
      <c r="A20" s="1"/>
      <c r="B20" s="22" t="s">
        <v>33</v>
      </c>
      <c r="C20" s="39" t="s">
        <v>34</v>
      </c>
      <c r="D20" s="33"/>
      <c r="E20" s="25"/>
      <c r="F20" s="40">
        <v>61</v>
      </c>
      <c r="G20" s="26">
        <v>61</v>
      </c>
      <c r="H20" s="38"/>
      <c r="I20" s="19">
        <f t="shared" si="2"/>
        <v>61</v>
      </c>
      <c r="J20" s="33"/>
      <c r="K20" s="25"/>
      <c r="L20" s="40">
        <v>0</v>
      </c>
      <c r="M20" s="26">
        <f t="shared" si="0"/>
        <v>0</v>
      </c>
      <c r="N20" s="38">
        <v>0</v>
      </c>
      <c r="O20" s="19">
        <f t="shared" si="3"/>
        <v>0</v>
      </c>
      <c r="P20" s="33"/>
      <c r="Q20" s="25"/>
      <c r="R20" s="40">
        <v>0</v>
      </c>
      <c r="S20" s="26">
        <f t="shared" si="4"/>
        <v>0</v>
      </c>
      <c r="T20" s="38">
        <v>0</v>
      </c>
      <c r="U20" s="19">
        <f t="shared" si="5"/>
        <v>0</v>
      </c>
      <c r="V20" s="33"/>
      <c r="W20" s="25"/>
      <c r="X20" s="40">
        <v>0</v>
      </c>
      <c r="Y20" s="26">
        <f>SUM(V20:X20)</f>
        <v>0</v>
      </c>
      <c r="Z20" s="38">
        <v>0</v>
      </c>
      <c r="AA20" s="19">
        <f t="shared" si="7"/>
        <v>0</v>
      </c>
      <c r="AB20" s="21" t="e">
        <f t="shared" si="8"/>
        <v>#DIV/0!</v>
      </c>
      <c r="AC20" s="3"/>
      <c r="AD20" s="3"/>
    </row>
    <row r="21" spans="1:30" x14ac:dyDescent="0.25">
      <c r="A21" s="1"/>
      <c r="B21" s="22" t="s">
        <v>35</v>
      </c>
      <c r="C21" s="41" t="s">
        <v>36</v>
      </c>
      <c r="D21" s="33"/>
      <c r="E21" s="25"/>
      <c r="F21" s="40">
        <v>387</v>
      </c>
      <c r="G21" s="26">
        <v>387</v>
      </c>
      <c r="H21" s="42">
        <v>1</v>
      </c>
      <c r="I21" s="19">
        <f>G21+H21</f>
        <v>388</v>
      </c>
      <c r="J21" s="33"/>
      <c r="K21" s="25"/>
      <c r="L21" s="40">
        <v>100</v>
      </c>
      <c r="M21" s="26">
        <f t="shared" si="0"/>
        <v>100</v>
      </c>
      <c r="N21" s="42">
        <v>0</v>
      </c>
      <c r="O21" s="19">
        <f>M21+N21</f>
        <v>100</v>
      </c>
      <c r="P21" s="33"/>
      <c r="Q21" s="25"/>
      <c r="R21" s="40">
        <v>0</v>
      </c>
      <c r="S21" s="26">
        <f t="shared" si="4"/>
        <v>0</v>
      </c>
      <c r="T21" s="42">
        <v>0</v>
      </c>
      <c r="U21" s="19">
        <f>S21+T21</f>
        <v>0</v>
      </c>
      <c r="V21" s="33"/>
      <c r="W21" s="25"/>
      <c r="X21" s="40">
        <v>150</v>
      </c>
      <c r="Y21" s="26">
        <f>SUM(V21:X21)</f>
        <v>150</v>
      </c>
      <c r="Z21" s="42">
        <v>0</v>
      </c>
      <c r="AA21" s="19">
        <f>Y21+Z21</f>
        <v>150</v>
      </c>
      <c r="AB21" s="21">
        <f t="shared" si="8"/>
        <v>1.5</v>
      </c>
      <c r="AC21" s="3"/>
      <c r="AD21" s="3"/>
    </row>
    <row r="22" spans="1:30" x14ac:dyDescent="0.25">
      <c r="A22" s="1"/>
      <c r="B22" s="22" t="s">
        <v>37</v>
      </c>
      <c r="C22" s="41" t="s">
        <v>38</v>
      </c>
      <c r="D22" s="33"/>
      <c r="E22" s="25"/>
      <c r="F22" s="40">
        <v>0</v>
      </c>
      <c r="G22" s="26">
        <f t="shared" si="1"/>
        <v>0</v>
      </c>
      <c r="H22" s="42"/>
      <c r="I22" s="19">
        <f t="shared" si="2"/>
        <v>0</v>
      </c>
      <c r="J22" s="33"/>
      <c r="K22" s="25"/>
      <c r="L22" s="40">
        <v>0</v>
      </c>
      <c r="M22" s="26">
        <f t="shared" si="0"/>
        <v>0</v>
      </c>
      <c r="N22" s="42">
        <v>0</v>
      </c>
      <c r="O22" s="19">
        <f t="shared" ref="O22:O23" si="9">M22+N22</f>
        <v>0</v>
      </c>
      <c r="P22" s="33"/>
      <c r="Q22" s="25"/>
      <c r="R22" s="40">
        <v>0</v>
      </c>
      <c r="S22" s="26">
        <f t="shared" si="4"/>
        <v>0</v>
      </c>
      <c r="T22" s="42">
        <v>0</v>
      </c>
      <c r="U22" s="19">
        <f t="shared" ref="U22:U23" si="10">S22+T22</f>
        <v>0</v>
      </c>
      <c r="V22" s="33"/>
      <c r="W22" s="25"/>
      <c r="X22" s="40">
        <v>0</v>
      </c>
      <c r="Y22" s="26">
        <f t="shared" si="6"/>
        <v>0</v>
      </c>
      <c r="Z22" s="42">
        <v>0</v>
      </c>
      <c r="AA22" s="19">
        <f t="shared" ref="AA22:AA23" si="11">Y22+Z22</f>
        <v>0</v>
      </c>
      <c r="AB22" s="21" t="e">
        <f t="shared" si="8"/>
        <v>#DIV/0!</v>
      </c>
      <c r="AC22" s="3"/>
      <c r="AD22" s="3"/>
    </row>
    <row r="23" spans="1:30" ht="15.75" thickBot="1" x14ac:dyDescent="0.3">
      <c r="A23" s="1"/>
      <c r="B23" s="43" t="s">
        <v>40</v>
      </c>
      <c r="C23" s="44" t="s">
        <v>41</v>
      </c>
      <c r="D23" s="46"/>
      <c r="E23" s="45"/>
      <c r="F23" s="50">
        <v>1</v>
      </c>
      <c r="G23" s="47">
        <v>1</v>
      </c>
      <c r="H23" s="48"/>
      <c r="I23" s="49">
        <f t="shared" si="2"/>
        <v>1</v>
      </c>
      <c r="J23" s="46"/>
      <c r="K23" s="45"/>
      <c r="L23" s="50">
        <v>30</v>
      </c>
      <c r="M23" s="47">
        <f t="shared" si="0"/>
        <v>30</v>
      </c>
      <c r="N23" s="48">
        <v>0</v>
      </c>
      <c r="O23" s="49">
        <f t="shared" si="9"/>
        <v>30</v>
      </c>
      <c r="P23" s="46"/>
      <c r="Q23" s="45"/>
      <c r="R23" s="50">
        <v>0</v>
      </c>
      <c r="S23" s="47">
        <f t="shared" si="4"/>
        <v>0</v>
      </c>
      <c r="T23" s="48">
        <v>0</v>
      </c>
      <c r="U23" s="49">
        <f t="shared" si="10"/>
        <v>0</v>
      </c>
      <c r="V23" s="46"/>
      <c r="W23" s="45"/>
      <c r="X23" s="50">
        <v>35</v>
      </c>
      <c r="Y23" s="47">
        <f t="shared" si="6"/>
        <v>35</v>
      </c>
      <c r="Z23" s="48">
        <v>0</v>
      </c>
      <c r="AA23" s="49">
        <f t="shared" si="11"/>
        <v>35</v>
      </c>
      <c r="AB23" s="51">
        <f t="shared" si="8"/>
        <v>1.1666666666666667</v>
      </c>
      <c r="AC23" s="3"/>
      <c r="AD23" s="3"/>
    </row>
    <row r="24" spans="1:30" ht="15.75" thickBot="1" x14ac:dyDescent="0.3">
      <c r="A24" s="1"/>
      <c r="B24" s="52" t="s">
        <v>42</v>
      </c>
      <c r="C24" s="53" t="s">
        <v>43</v>
      </c>
      <c r="D24" s="54">
        <f>SUM(D15:D21)</f>
        <v>4000</v>
      </c>
      <c r="E24" s="55">
        <f>SUM(E15:E21)</f>
        <v>3892</v>
      </c>
      <c r="F24" s="55">
        <f>SUM(F15:F21)</f>
        <v>5622</v>
      </c>
      <c r="G24" s="56">
        <f>SUM(D24:F24)</f>
        <v>13514</v>
      </c>
      <c r="H24" s="57">
        <f>SUM(H15:H21)</f>
        <v>24</v>
      </c>
      <c r="I24" s="57">
        <f>SUM(I15:I21)</f>
        <v>13538</v>
      </c>
      <c r="J24" s="54">
        <f>SUM(J15:J21)</f>
        <v>4155</v>
      </c>
      <c r="K24" s="55">
        <f>SUM(K15:K21)</f>
        <v>4500</v>
      </c>
      <c r="L24" s="55">
        <f>SUM(L15:L21)</f>
        <v>4440</v>
      </c>
      <c r="M24" s="56">
        <f>SUM(J24:L24)</f>
        <v>13095</v>
      </c>
      <c r="N24" s="57">
        <f>SUM(N15:N23)</f>
        <v>20</v>
      </c>
      <c r="O24" s="57">
        <f>SUM(O15:O21)</f>
        <v>13115</v>
      </c>
      <c r="P24" s="54">
        <f>SUM(P15:P21)</f>
        <v>2298</v>
      </c>
      <c r="Q24" s="55">
        <f>SUM(Q15:Q21)</f>
        <v>487</v>
      </c>
      <c r="R24" s="55">
        <f>SUM(R15:R21)</f>
        <v>4883</v>
      </c>
      <c r="S24" s="56">
        <f>SUM(P24:R24)</f>
        <v>7668</v>
      </c>
      <c r="T24" s="57">
        <f>SUM(T15:T21)</f>
        <v>16</v>
      </c>
      <c r="U24" s="57">
        <f>SUM(U15:U21)</f>
        <v>7684</v>
      </c>
      <c r="V24" s="54">
        <f>SUM(V15:V21)</f>
        <v>4680</v>
      </c>
      <c r="W24" s="55">
        <f>SUM(W15:W21)</f>
        <v>4500</v>
      </c>
      <c r="X24" s="55">
        <f>SUM(X15:X21)</f>
        <v>8340</v>
      </c>
      <c r="Y24" s="56">
        <f>SUM(V24:X24)</f>
        <v>17520</v>
      </c>
      <c r="Z24" s="57">
        <f>SUM(Z15:Z23)</f>
        <v>25</v>
      </c>
      <c r="AA24" s="57">
        <f>SUM(AA15:AA21)</f>
        <v>17545</v>
      </c>
      <c r="AB24" s="58">
        <f t="shared" si="8"/>
        <v>1.3377811666031263</v>
      </c>
      <c r="AC24" s="3"/>
      <c r="AD24" s="3"/>
    </row>
    <row r="25" spans="1:30" ht="15.75" customHeight="1" thickBot="1" x14ac:dyDescent="0.3">
      <c r="A25" s="1"/>
      <c r="B25" s="59"/>
      <c r="C25" s="60"/>
      <c r="D25" s="205" t="s">
        <v>44</v>
      </c>
      <c r="E25" s="206"/>
      <c r="F25" s="206"/>
      <c r="G25" s="207"/>
      <c r="H25" s="207"/>
      <c r="I25" s="208"/>
      <c r="J25" s="205" t="s">
        <v>44</v>
      </c>
      <c r="K25" s="206"/>
      <c r="L25" s="206"/>
      <c r="M25" s="207"/>
      <c r="N25" s="207"/>
      <c r="O25" s="208"/>
      <c r="P25" s="205" t="s">
        <v>44</v>
      </c>
      <c r="Q25" s="206"/>
      <c r="R25" s="206"/>
      <c r="S25" s="207"/>
      <c r="T25" s="207"/>
      <c r="U25" s="208"/>
      <c r="V25" s="205" t="s">
        <v>44</v>
      </c>
      <c r="W25" s="206"/>
      <c r="X25" s="206"/>
      <c r="Y25" s="207"/>
      <c r="Z25" s="207"/>
      <c r="AA25" s="208"/>
      <c r="AB25" s="217" t="s">
        <v>12</v>
      </c>
      <c r="AC25" s="3"/>
      <c r="AD25" s="3"/>
    </row>
    <row r="26" spans="1:30" ht="15.75" thickBot="1" x14ac:dyDescent="0.3">
      <c r="A26" s="1"/>
      <c r="B26" s="197" t="s">
        <v>6</v>
      </c>
      <c r="C26" s="199" t="s">
        <v>7</v>
      </c>
      <c r="D26" s="189" t="s">
        <v>46</v>
      </c>
      <c r="E26" s="190"/>
      <c r="F26" s="190"/>
      <c r="G26" s="191" t="s">
        <v>47</v>
      </c>
      <c r="H26" s="193" t="s">
        <v>48</v>
      </c>
      <c r="I26" s="195" t="s">
        <v>44</v>
      </c>
      <c r="J26" s="189" t="s">
        <v>46</v>
      </c>
      <c r="K26" s="190"/>
      <c r="L26" s="190"/>
      <c r="M26" s="191" t="s">
        <v>47</v>
      </c>
      <c r="N26" s="193" t="s">
        <v>48</v>
      </c>
      <c r="O26" s="195" t="s">
        <v>44</v>
      </c>
      <c r="P26" s="189" t="s">
        <v>46</v>
      </c>
      <c r="Q26" s="190"/>
      <c r="R26" s="190"/>
      <c r="S26" s="191" t="s">
        <v>47</v>
      </c>
      <c r="T26" s="193" t="s">
        <v>48</v>
      </c>
      <c r="U26" s="195" t="s">
        <v>44</v>
      </c>
      <c r="V26" s="189" t="s">
        <v>46</v>
      </c>
      <c r="W26" s="190"/>
      <c r="X26" s="190"/>
      <c r="Y26" s="191" t="s">
        <v>47</v>
      </c>
      <c r="Z26" s="193" t="s">
        <v>48</v>
      </c>
      <c r="AA26" s="195" t="s">
        <v>44</v>
      </c>
      <c r="AB26" s="218"/>
      <c r="AC26" s="3"/>
      <c r="AD26" s="3"/>
    </row>
    <row r="27" spans="1:30" ht="15.75" thickBot="1" x14ac:dyDescent="0.3">
      <c r="A27" s="1"/>
      <c r="B27" s="198"/>
      <c r="C27" s="200"/>
      <c r="D27" s="61" t="s">
        <v>49</v>
      </c>
      <c r="E27" s="62" t="s">
        <v>50</v>
      </c>
      <c r="F27" s="63" t="s">
        <v>51</v>
      </c>
      <c r="G27" s="192"/>
      <c r="H27" s="194"/>
      <c r="I27" s="196"/>
      <c r="J27" s="61" t="s">
        <v>49</v>
      </c>
      <c r="K27" s="62" t="s">
        <v>50</v>
      </c>
      <c r="L27" s="63" t="s">
        <v>51</v>
      </c>
      <c r="M27" s="192"/>
      <c r="N27" s="194"/>
      <c r="O27" s="196"/>
      <c r="P27" s="61" t="s">
        <v>49</v>
      </c>
      <c r="Q27" s="62" t="s">
        <v>50</v>
      </c>
      <c r="R27" s="63" t="s">
        <v>51</v>
      </c>
      <c r="S27" s="192"/>
      <c r="T27" s="194"/>
      <c r="U27" s="196"/>
      <c r="V27" s="61" t="s">
        <v>49</v>
      </c>
      <c r="W27" s="62" t="s">
        <v>50</v>
      </c>
      <c r="X27" s="63" t="s">
        <v>51</v>
      </c>
      <c r="Y27" s="192"/>
      <c r="Z27" s="194"/>
      <c r="AA27" s="196"/>
      <c r="AB27" s="219"/>
      <c r="AC27" s="3"/>
      <c r="AD27" s="3"/>
    </row>
    <row r="28" spans="1:30" x14ac:dyDescent="0.25">
      <c r="A28" s="1"/>
      <c r="B28" s="13" t="s">
        <v>52</v>
      </c>
      <c r="C28" s="64" t="s">
        <v>53</v>
      </c>
      <c r="D28" s="65">
        <v>150</v>
      </c>
      <c r="E28" s="65">
        <v>0</v>
      </c>
      <c r="F28" s="65">
        <v>207</v>
      </c>
      <c r="G28" s="66">
        <f>SUM(D28:F28)</f>
        <v>357</v>
      </c>
      <c r="H28" s="66">
        <v>0</v>
      </c>
      <c r="I28" s="67">
        <f>G28+H28</f>
        <v>357</v>
      </c>
      <c r="J28" s="68">
        <v>100</v>
      </c>
      <c r="K28" s="65">
        <v>0</v>
      </c>
      <c r="L28" s="65">
        <v>80</v>
      </c>
      <c r="M28" s="66">
        <f>SUM(J28:L28)</f>
        <v>180</v>
      </c>
      <c r="N28" s="66">
        <v>0</v>
      </c>
      <c r="O28" s="67">
        <f>M28+N28</f>
        <v>180</v>
      </c>
      <c r="P28" s="68">
        <v>50</v>
      </c>
      <c r="Q28" s="65">
        <v>0</v>
      </c>
      <c r="R28" s="65">
        <v>45</v>
      </c>
      <c r="S28" s="66">
        <f>SUM(P28:R28)</f>
        <v>95</v>
      </c>
      <c r="T28" s="66">
        <v>0</v>
      </c>
      <c r="U28" s="67">
        <f>S28+T28</f>
        <v>95</v>
      </c>
      <c r="V28" s="68">
        <v>100</v>
      </c>
      <c r="W28" s="65">
        <v>0</v>
      </c>
      <c r="X28" s="65">
        <v>100</v>
      </c>
      <c r="Y28" s="66">
        <f>SUM(V28:X28)</f>
        <v>200</v>
      </c>
      <c r="Z28" s="66">
        <v>0</v>
      </c>
      <c r="AA28" s="67">
        <f>Y28+Z28</f>
        <v>200</v>
      </c>
      <c r="AB28" s="21">
        <f t="shared" ref="AB28:AB44" si="12">(AA28/O28)</f>
        <v>1.1111111111111112</v>
      </c>
      <c r="AC28" s="3"/>
      <c r="AD28" s="3"/>
    </row>
    <row r="29" spans="1:30" x14ac:dyDescent="0.25">
      <c r="A29" s="1"/>
      <c r="B29" s="22" t="s">
        <v>54</v>
      </c>
      <c r="C29" s="69" t="s">
        <v>55</v>
      </c>
      <c r="D29" s="70">
        <v>250</v>
      </c>
      <c r="E29" s="70">
        <v>1800</v>
      </c>
      <c r="F29" s="70">
        <v>2414</v>
      </c>
      <c r="G29" s="71">
        <f t="shared" ref="G29:G41" si="13">SUM(D29:F29)</f>
        <v>4464</v>
      </c>
      <c r="H29" s="72">
        <v>0</v>
      </c>
      <c r="I29" s="19">
        <f t="shared" ref="I29:I41" si="14">G29+H29</f>
        <v>4464</v>
      </c>
      <c r="J29" s="73">
        <v>150</v>
      </c>
      <c r="K29" s="70">
        <v>1750</v>
      </c>
      <c r="L29" s="70">
        <v>350</v>
      </c>
      <c r="M29" s="71">
        <f t="shared" ref="M29:M41" si="15">SUM(J29:L29)</f>
        <v>2250</v>
      </c>
      <c r="N29" s="72">
        <v>0</v>
      </c>
      <c r="O29" s="19">
        <f t="shared" ref="O29:O41" si="16">M29+N29</f>
        <v>2250</v>
      </c>
      <c r="P29" s="73">
        <v>100</v>
      </c>
      <c r="Q29" s="70">
        <v>0</v>
      </c>
      <c r="R29" s="70">
        <v>2661</v>
      </c>
      <c r="S29" s="71">
        <f t="shared" ref="S29:S41" si="17">SUM(P29:R29)</f>
        <v>2761</v>
      </c>
      <c r="T29" s="72">
        <v>0</v>
      </c>
      <c r="U29" s="19">
        <f t="shared" ref="U29:U41" si="18">S29+T29</f>
        <v>2761</v>
      </c>
      <c r="V29" s="73">
        <v>130</v>
      </c>
      <c r="W29" s="70">
        <v>1500</v>
      </c>
      <c r="X29" s="70">
        <v>2620</v>
      </c>
      <c r="Y29" s="71">
        <f t="shared" ref="Y29:Y41" si="19">SUM(V29:X29)</f>
        <v>4250</v>
      </c>
      <c r="Z29" s="72">
        <v>0</v>
      </c>
      <c r="AA29" s="19">
        <f t="shared" ref="AA29:AA41" si="20">Y29+Z29</f>
        <v>4250</v>
      </c>
      <c r="AB29" s="21">
        <f t="shared" si="12"/>
        <v>1.8888888888888888</v>
      </c>
      <c r="AC29" s="3"/>
      <c r="AD29" s="3"/>
    </row>
    <row r="30" spans="1:30" x14ac:dyDescent="0.25">
      <c r="A30" s="1"/>
      <c r="B30" s="22" t="s">
        <v>56</v>
      </c>
      <c r="C30" s="41" t="s">
        <v>57</v>
      </c>
      <c r="D30" s="74">
        <v>0</v>
      </c>
      <c r="E30" s="74">
        <v>0</v>
      </c>
      <c r="F30" s="74">
        <v>64</v>
      </c>
      <c r="G30" s="71">
        <f t="shared" si="13"/>
        <v>64</v>
      </c>
      <c r="H30" s="71">
        <v>0</v>
      </c>
      <c r="I30" s="19">
        <f t="shared" si="14"/>
        <v>64</v>
      </c>
      <c r="J30" s="75">
        <v>0</v>
      </c>
      <c r="K30" s="74">
        <v>0</v>
      </c>
      <c r="L30" s="74">
        <v>35</v>
      </c>
      <c r="M30" s="71">
        <f t="shared" si="15"/>
        <v>35</v>
      </c>
      <c r="N30" s="71">
        <v>0</v>
      </c>
      <c r="O30" s="19">
        <f t="shared" si="16"/>
        <v>35</v>
      </c>
      <c r="P30" s="75">
        <v>0</v>
      </c>
      <c r="Q30" s="74">
        <v>0</v>
      </c>
      <c r="R30" s="74">
        <v>42</v>
      </c>
      <c r="S30" s="71">
        <f t="shared" si="17"/>
        <v>42</v>
      </c>
      <c r="T30" s="71">
        <v>0</v>
      </c>
      <c r="U30" s="19">
        <f t="shared" si="18"/>
        <v>42</v>
      </c>
      <c r="V30" s="75">
        <v>0</v>
      </c>
      <c r="W30" s="74">
        <v>0</v>
      </c>
      <c r="X30" s="74">
        <v>62</v>
      </c>
      <c r="Y30" s="71">
        <f t="shared" si="19"/>
        <v>62</v>
      </c>
      <c r="Z30" s="71">
        <v>0</v>
      </c>
      <c r="AA30" s="19">
        <f t="shared" si="20"/>
        <v>62</v>
      </c>
      <c r="AB30" s="21">
        <f t="shared" si="12"/>
        <v>1.7714285714285714</v>
      </c>
      <c r="AC30" s="3"/>
      <c r="AD30" s="3"/>
    </row>
    <row r="31" spans="1:30" x14ac:dyDescent="0.25">
      <c r="A31" s="1"/>
      <c r="B31" s="22" t="s">
        <v>58</v>
      </c>
      <c r="C31" s="41" t="s">
        <v>112</v>
      </c>
      <c r="D31" s="74">
        <v>0</v>
      </c>
      <c r="E31" s="74">
        <v>0</v>
      </c>
      <c r="F31" s="74">
        <v>-2343</v>
      </c>
      <c r="G31" s="71">
        <f t="shared" si="13"/>
        <v>-2343</v>
      </c>
      <c r="H31" s="71">
        <v>0</v>
      </c>
      <c r="I31" s="19">
        <f t="shared" si="14"/>
        <v>-2343</v>
      </c>
      <c r="J31" s="75">
        <v>0</v>
      </c>
      <c r="K31" s="74">
        <v>0</v>
      </c>
      <c r="L31" s="74">
        <v>0</v>
      </c>
      <c r="M31" s="71">
        <f t="shared" si="15"/>
        <v>0</v>
      </c>
      <c r="N31" s="71">
        <v>0</v>
      </c>
      <c r="O31" s="19">
        <f t="shared" si="16"/>
        <v>0</v>
      </c>
      <c r="P31" s="75">
        <v>0</v>
      </c>
      <c r="Q31" s="74">
        <v>0</v>
      </c>
      <c r="R31" s="74">
        <v>-2408</v>
      </c>
      <c r="S31" s="71">
        <f t="shared" si="17"/>
        <v>-2408</v>
      </c>
      <c r="T31" s="71">
        <v>0</v>
      </c>
      <c r="U31" s="19">
        <f t="shared" si="18"/>
        <v>-2408</v>
      </c>
      <c r="V31" s="75">
        <v>0</v>
      </c>
      <c r="W31" s="74">
        <v>0</v>
      </c>
      <c r="X31" s="74">
        <v>0</v>
      </c>
      <c r="Y31" s="71">
        <f t="shared" si="19"/>
        <v>0</v>
      </c>
      <c r="Z31" s="71">
        <v>0</v>
      </c>
      <c r="AA31" s="19"/>
      <c r="AB31" s="21"/>
      <c r="AC31" s="3"/>
      <c r="AD31" s="3"/>
    </row>
    <row r="32" spans="1:30" x14ac:dyDescent="0.25">
      <c r="A32" s="1"/>
      <c r="B32" s="22" t="s">
        <v>60</v>
      </c>
      <c r="C32" s="41" t="s">
        <v>113</v>
      </c>
      <c r="D32" s="74">
        <v>0</v>
      </c>
      <c r="E32" s="74">
        <v>0</v>
      </c>
      <c r="F32" s="74">
        <v>0</v>
      </c>
      <c r="G32" s="71">
        <f t="shared" si="13"/>
        <v>0</v>
      </c>
      <c r="H32" s="71">
        <v>0</v>
      </c>
      <c r="I32" s="19">
        <f t="shared" si="14"/>
        <v>0</v>
      </c>
      <c r="J32" s="75">
        <v>0</v>
      </c>
      <c r="K32" s="74">
        <v>0</v>
      </c>
      <c r="L32" s="74">
        <v>0</v>
      </c>
      <c r="M32" s="71">
        <f t="shared" si="15"/>
        <v>0</v>
      </c>
      <c r="N32" s="71">
        <v>0</v>
      </c>
      <c r="O32" s="19">
        <f t="shared" si="16"/>
        <v>0</v>
      </c>
      <c r="P32" s="75">
        <v>0</v>
      </c>
      <c r="Q32" s="74">
        <v>0</v>
      </c>
      <c r="R32" s="74">
        <v>0</v>
      </c>
      <c r="S32" s="71">
        <f t="shared" si="17"/>
        <v>0</v>
      </c>
      <c r="T32" s="71">
        <v>0</v>
      </c>
      <c r="U32" s="19">
        <f t="shared" si="18"/>
        <v>0</v>
      </c>
      <c r="V32" s="75">
        <v>0</v>
      </c>
      <c r="W32" s="74">
        <v>0</v>
      </c>
      <c r="X32" s="74">
        <v>0</v>
      </c>
      <c r="Y32" s="71">
        <f t="shared" si="19"/>
        <v>0</v>
      </c>
      <c r="Z32" s="71">
        <v>0</v>
      </c>
      <c r="AA32" s="19"/>
      <c r="AB32" s="21"/>
      <c r="AC32" s="3"/>
      <c r="AD32" s="3"/>
    </row>
    <row r="33" spans="1:30" x14ac:dyDescent="0.25">
      <c r="A33" s="1"/>
      <c r="B33" s="22" t="s">
        <v>62</v>
      </c>
      <c r="C33" s="41" t="s">
        <v>59</v>
      </c>
      <c r="D33" s="74">
        <v>329</v>
      </c>
      <c r="E33" s="74">
        <v>2092</v>
      </c>
      <c r="F33" s="74">
        <v>3235</v>
      </c>
      <c r="G33" s="71">
        <f t="shared" si="13"/>
        <v>5656</v>
      </c>
      <c r="H33" s="71">
        <v>16</v>
      </c>
      <c r="I33" s="19">
        <f t="shared" si="14"/>
        <v>5672</v>
      </c>
      <c r="J33" s="75">
        <v>305</v>
      </c>
      <c r="K33" s="74">
        <v>2750</v>
      </c>
      <c r="L33" s="74">
        <v>1245</v>
      </c>
      <c r="M33" s="71">
        <f t="shared" si="15"/>
        <v>4300</v>
      </c>
      <c r="N33" s="71">
        <v>20</v>
      </c>
      <c r="O33" s="19">
        <f t="shared" si="16"/>
        <v>4320</v>
      </c>
      <c r="P33" s="75">
        <v>150</v>
      </c>
      <c r="Q33" s="74">
        <v>746</v>
      </c>
      <c r="R33" s="74">
        <v>2379</v>
      </c>
      <c r="S33" s="71">
        <f t="shared" si="17"/>
        <v>3275</v>
      </c>
      <c r="T33" s="71">
        <v>0</v>
      </c>
      <c r="U33" s="19">
        <f t="shared" si="18"/>
        <v>3275</v>
      </c>
      <c r="V33" s="75">
        <v>200</v>
      </c>
      <c r="W33" s="74">
        <v>3000</v>
      </c>
      <c r="X33" s="74">
        <v>2070</v>
      </c>
      <c r="Y33" s="71">
        <f t="shared" si="19"/>
        <v>5270</v>
      </c>
      <c r="Z33" s="71">
        <v>25</v>
      </c>
      <c r="AA33" s="19">
        <f t="shared" si="20"/>
        <v>5295</v>
      </c>
      <c r="AB33" s="21">
        <f t="shared" si="12"/>
        <v>1.2256944444444444</v>
      </c>
      <c r="AC33" s="3"/>
      <c r="AD33" s="3"/>
    </row>
    <row r="34" spans="1:30" x14ac:dyDescent="0.25">
      <c r="A34" s="1"/>
      <c r="B34" s="22" t="s">
        <v>64</v>
      </c>
      <c r="C34" s="41" t="s">
        <v>61</v>
      </c>
      <c r="D34" s="162">
        <v>1900</v>
      </c>
      <c r="E34" s="74">
        <v>0</v>
      </c>
      <c r="F34" s="74">
        <v>1534</v>
      </c>
      <c r="G34" s="71">
        <f t="shared" si="13"/>
        <v>3434</v>
      </c>
      <c r="H34" s="71">
        <v>0</v>
      </c>
      <c r="I34" s="19">
        <f t="shared" si="14"/>
        <v>3434</v>
      </c>
      <c r="J34" s="163">
        <v>2079</v>
      </c>
      <c r="K34" s="74">
        <v>0</v>
      </c>
      <c r="L34" s="74">
        <v>1476</v>
      </c>
      <c r="M34" s="71">
        <f t="shared" si="15"/>
        <v>3555</v>
      </c>
      <c r="N34" s="71">
        <v>0</v>
      </c>
      <c r="O34" s="19">
        <f t="shared" si="16"/>
        <v>3555</v>
      </c>
      <c r="P34" s="163">
        <v>1000</v>
      </c>
      <c r="Q34" s="74">
        <v>0</v>
      </c>
      <c r="R34" s="74">
        <v>886</v>
      </c>
      <c r="S34" s="71">
        <f t="shared" si="17"/>
        <v>1886</v>
      </c>
      <c r="T34" s="71">
        <v>0</v>
      </c>
      <c r="U34" s="19">
        <f t="shared" si="18"/>
        <v>1886</v>
      </c>
      <c r="V34" s="164">
        <v>2345</v>
      </c>
      <c r="W34" s="74">
        <v>0</v>
      </c>
      <c r="X34" s="74">
        <v>1980</v>
      </c>
      <c r="Y34" s="71">
        <f t="shared" si="19"/>
        <v>4325</v>
      </c>
      <c r="Z34" s="71">
        <v>0</v>
      </c>
      <c r="AA34" s="19">
        <f t="shared" si="20"/>
        <v>4325</v>
      </c>
      <c r="AB34" s="21">
        <f t="shared" si="12"/>
        <v>1.2165963431786218</v>
      </c>
      <c r="AC34" s="3"/>
      <c r="AD34" s="3"/>
    </row>
    <row r="35" spans="1:30" x14ac:dyDescent="0.25">
      <c r="A35" s="1"/>
      <c r="B35" s="22" t="s">
        <v>66</v>
      </c>
      <c r="C35" s="35" t="s">
        <v>63</v>
      </c>
      <c r="D35" s="162">
        <v>1750</v>
      </c>
      <c r="E35" s="74">
        <v>0</v>
      </c>
      <c r="F35" s="74">
        <v>1335</v>
      </c>
      <c r="G35" s="71">
        <f t="shared" si="13"/>
        <v>3085</v>
      </c>
      <c r="H35" s="71">
        <v>0</v>
      </c>
      <c r="I35" s="19">
        <f t="shared" si="14"/>
        <v>3085</v>
      </c>
      <c r="J35" s="163">
        <v>2129</v>
      </c>
      <c r="K35" s="74">
        <v>0</v>
      </c>
      <c r="L35" s="74">
        <v>1426</v>
      </c>
      <c r="M35" s="71">
        <f t="shared" si="15"/>
        <v>3555</v>
      </c>
      <c r="N35" s="71">
        <v>0</v>
      </c>
      <c r="O35" s="19">
        <f t="shared" si="16"/>
        <v>3555</v>
      </c>
      <c r="P35" s="163">
        <v>900</v>
      </c>
      <c r="Q35" s="74">
        <v>0</v>
      </c>
      <c r="R35" s="74">
        <v>838</v>
      </c>
      <c r="S35" s="71">
        <f t="shared" si="17"/>
        <v>1738</v>
      </c>
      <c r="T35" s="71">
        <v>0</v>
      </c>
      <c r="U35" s="19">
        <f t="shared" si="18"/>
        <v>1738</v>
      </c>
      <c r="V35" s="164">
        <v>2245</v>
      </c>
      <c r="W35" s="74">
        <v>0</v>
      </c>
      <c r="X35" s="74">
        <v>1680</v>
      </c>
      <c r="Y35" s="71">
        <f t="shared" si="19"/>
        <v>3925</v>
      </c>
      <c r="Z35" s="71">
        <v>0</v>
      </c>
      <c r="AA35" s="19">
        <f t="shared" si="20"/>
        <v>3925</v>
      </c>
      <c r="AB35" s="21">
        <f t="shared" si="12"/>
        <v>1.1040787623066104</v>
      </c>
      <c r="AC35" s="3"/>
      <c r="AD35" s="3"/>
    </row>
    <row r="36" spans="1:30" x14ac:dyDescent="0.25">
      <c r="A36" s="1"/>
      <c r="B36" s="22" t="s">
        <v>68</v>
      </c>
      <c r="C36" s="76" t="s">
        <v>65</v>
      </c>
      <c r="D36" s="162">
        <v>150</v>
      </c>
      <c r="E36" s="74">
        <v>0</v>
      </c>
      <c r="F36" s="74">
        <v>199</v>
      </c>
      <c r="G36" s="71">
        <f t="shared" si="13"/>
        <v>349</v>
      </c>
      <c r="H36" s="71">
        <v>0</v>
      </c>
      <c r="I36" s="19">
        <f t="shared" si="14"/>
        <v>349</v>
      </c>
      <c r="J36" s="163">
        <v>100</v>
      </c>
      <c r="K36" s="74">
        <v>0</v>
      </c>
      <c r="L36" s="74">
        <v>50</v>
      </c>
      <c r="M36" s="71">
        <f>SUM(J36:L36)</f>
        <v>150</v>
      </c>
      <c r="N36" s="71">
        <v>0</v>
      </c>
      <c r="O36" s="19">
        <f t="shared" si="16"/>
        <v>150</v>
      </c>
      <c r="P36" s="163">
        <v>100</v>
      </c>
      <c r="Q36" s="74">
        <v>0</v>
      </c>
      <c r="R36" s="74">
        <v>48</v>
      </c>
      <c r="S36" s="71">
        <f t="shared" si="17"/>
        <v>148</v>
      </c>
      <c r="T36" s="71">
        <v>0</v>
      </c>
      <c r="U36" s="19">
        <f t="shared" si="18"/>
        <v>148</v>
      </c>
      <c r="V36" s="164">
        <v>100</v>
      </c>
      <c r="W36" s="74">
        <v>0</v>
      </c>
      <c r="X36" s="74">
        <v>300</v>
      </c>
      <c r="Y36" s="71">
        <f t="shared" si="19"/>
        <v>400</v>
      </c>
      <c r="Z36" s="71">
        <v>0</v>
      </c>
      <c r="AA36" s="19">
        <f t="shared" si="20"/>
        <v>400</v>
      </c>
      <c r="AB36" s="21">
        <f t="shared" si="12"/>
        <v>2.6666666666666665</v>
      </c>
      <c r="AC36" s="3"/>
      <c r="AD36" s="3"/>
    </row>
    <row r="37" spans="1:30" x14ac:dyDescent="0.25">
      <c r="A37" s="1"/>
      <c r="B37" s="22" t="s">
        <v>70</v>
      </c>
      <c r="C37" s="41" t="s">
        <v>67</v>
      </c>
      <c r="D37" s="162">
        <v>665</v>
      </c>
      <c r="E37" s="74">
        <v>0</v>
      </c>
      <c r="F37" s="74">
        <v>457</v>
      </c>
      <c r="G37" s="71">
        <f t="shared" si="13"/>
        <v>1122</v>
      </c>
      <c r="H37" s="71">
        <v>0</v>
      </c>
      <c r="I37" s="19">
        <f t="shared" si="14"/>
        <v>1122</v>
      </c>
      <c r="J37" s="163">
        <v>756</v>
      </c>
      <c r="K37" s="74">
        <v>0</v>
      </c>
      <c r="L37" s="74">
        <v>502</v>
      </c>
      <c r="M37" s="71">
        <f t="shared" si="15"/>
        <v>1258</v>
      </c>
      <c r="N37" s="71">
        <v>0</v>
      </c>
      <c r="O37" s="19">
        <f t="shared" si="16"/>
        <v>1258</v>
      </c>
      <c r="P37" s="163">
        <v>350</v>
      </c>
      <c r="Q37" s="74">
        <v>0</v>
      </c>
      <c r="R37" s="74">
        <v>301</v>
      </c>
      <c r="S37" s="71">
        <f t="shared" si="17"/>
        <v>651</v>
      </c>
      <c r="T37" s="71">
        <v>0</v>
      </c>
      <c r="U37" s="19">
        <f t="shared" si="18"/>
        <v>651</v>
      </c>
      <c r="V37" s="163">
        <v>740</v>
      </c>
      <c r="W37" s="74">
        <v>0</v>
      </c>
      <c r="X37" s="74">
        <v>673</v>
      </c>
      <c r="Y37" s="71">
        <f t="shared" si="19"/>
        <v>1413</v>
      </c>
      <c r="Z37" s="71">
        <v>0</v>
      </c>
      <c r="AA37" s="19">
        <f t="shared" si="20"/>
        <v>1413</v>
      </c>
      <c r="AB37" s="21">
        <f t="shared" si="12"/>
        <v>1.1232114467408585</v>
      </c>
      <c r="AC37" s="3"/>
      <c r="AD37" s="3"/>
    </row>
    <row r="38" spans="1:30" x14ac:dyDescent="0.25">
      <c r="A38" s="1"/>
      <c r="B38" s="22" t="s">
        <v>72</v>
      </c>
      <c r="C38" s="41" t="s">
        <v>69</v>
      </c>
      <c r="D38" s="74">
        <v>0</v>
      </c>
      <c r="E38" s="74">
        <v>0</v>
      </c>
      <c r="F38" s="74">
        <v>4</v>
      </c>
      <c r="G38" s="71">
        <f t="shared" si="13"/>
        <v>4</v>
      </c>
      <c r="H38" s="71">
        <v>0</v>
      </c>
      <c r="I38" s="19">
        <f t="shared" si="14"/>
        <v>4</v>
      </c>
      <c r="J38" s="163">
        <v>0</v>
      </c>
      <c r="K38" s="74">
        <v>0</v>
      </c>
      <c r="L38" s="74">
        <v>10</v>
      </c>
      <c r="M38" s="71">
        <f t="shared" si="15"/>
        <v>10</v>
      </c>
      <c r="N38" s="71">
        <v>0</v>
      </c>
      <c r="O38" s="19">
        <f t="shared" si="16"/>
        <v>10</v>
      </c>
      <c r="P38" s="75">
        <v>0</v>
      </c>
      <c r="Q38" s="74">
        <v>0</v>
      </c>
      <c r="R38" s="74">
        <v>8</v>
      </c>
      <c r="S38" s="71">
        <f t="shared" si="17"/>
        <v>8</v>
      </c>
      <c r="T38" s="71">
        <v>0</v>
      </c>
      <c r="U38" s="19">
        <f t="shared" si="18"/>
        <v>8</v>
      </c>
      <c r="V38" s="75">
        <v>0</v>
      </c>
      <c r="W38" s="74">
        <v>0</v>
      </c>
      <c r="X38" s="74">
        <v>15</v>
      </c>
      <c r="Y38" s="71">
        <f t="shared" si="19"/>
        <v>15</v>
      </c>
      <c r="Z38" s="71">
        <v>0</v>
      </c>
      <c r="AA38" s="19">
        <f t="shared" si="20"/>
        <v>15</v>
      </c>
      <c r="AB38" s="21">
        <f t="shared" si="12"/>
        <v>1.5</v>
      </c>
      <c r="AC38" s="3"/>
      <c r="AD38" s="3"/>
    </row>
    <row r="39" spans="1:30" x14ac:dyDescent="0.25">
      <c r="A39" s="1"/>
      <c r="B39" s="22" t="s">
        <v>114</v>
      </c>
      <c r="C39" s="41" t="s">
        <v>71</v>
      </c>
      <c r="D39" s="74">
        <v>706</v>
      </c>
      <c r="E39" s="74">
        <v>0</v>
      </c>
      <c r="F39" s="74">
        <v>0</v>
      </c>
      <c r="G39" s="71">
        <f t="shared" si="13"/>
        <v>706</v>
      </c>
      <c r="H39" s="71">
        <v>0</v>
      </c>
      <c r="I39" s="19">
        <f t="shared" si="14"/>
        <v>706</v>
      </c>
      <c r="J39" s="163">
        <v>765</v>
      </c>
      <c r="K39" s="74">
        <v>0</v>
      </c>
      <c r="L39" s="74">
        <v>0</v>
      </c>
      <c r="M39" s="71">
        <f t="shared" si="15"/>
        <v>765</v>
      </c>
      <c r="N39" s="71">
        <v>0</v>
      </c>
      <c r="O39" s="19">
        <f t="shared" si="16"/>
        <v>765</v>
      </c>
      <c r="P39" s="75">
        <v>382</v>
      </c>
      <c r="Q39" s="74">
        <v>0</v>
      </c>
      <c r="R39" s="74">
        <v>0</v>
      </c>
      <c r="S39" s="71">
        <f t="shared" si="17"/>
        <v>382</v>
      </c>
      <c r="T39" s="71">
        <v>0</v>
      </c>
      <c r="U39" s="19">
        <f t="shared" si="18"/>
        <v>382</v>
      </c>
      <c r="V39" s="75">
        <v>1165</v>
      </c>
      <c r="W39" s="74">
        <v>0</v>
      </c>
      <c r="X39" s="74">
        <v>0</v>
      </c>
      <c r="Y39" s="71">
        <f t="shared" si="19"/>
        <v>1165</v>
      </c>
      <c r="Z39" s="71">
        <v>0</v>
      </c>
      <c r="AA39" s="19">
        <f t="shared" si="20"/>
        <v>1165</v>
      </c>
      <c r="AB39" s="21">
        <f t="shared" si="12"/>
        <v>1.522875816993464</v>
      </c>
      <c r="AC39" s="3"/>
      <c r="AD39" s="3"/>
    </row>
    <row r="40" spans="1:30" x14ac:dyDescent="0.25">
      <c r="A40" s="1"/>
      <c r="B40" s="22" t="s">
        <v>74</v>
      </c>
      <c r="C40" s="78" t="s">
        <v>115</v>
      </c>
      <c r="D40" s="79">
        <v>0</v>
      </c>
      <c r="E40" s="79">
        <v>0</v>
      </c>
      <c r="F40" s="79">
        <v>-165</v>
      </c>
      <c r="G40" s="71">
        <f t="shared" si="13"/>
        <v>-165</v>
      </c>
      <c r="H40" s="71">
        <v>0</v>
      </c>
      <c r="I40" s="19">
        <f t="shared" si="14"/>
        <v>-165</v>
      </c>
      <c r="J40" s="165">
        <v>0</v>
      </c>
      <c r="K40" s="79">
        <v>0</v>
      </c>
      <c r="L40" s="79">
        <v>0</v>
      </c>
      <c r="M40" s="80">
        <f t="shared" si="15"/>
        <v>0</v>
      </c>
      <c r="N40" s="71">
        <v>0</v>
      </c>
      <c r="O40" s="19">
        <f t="shared" si="16"/>
        <v>0</v>
      </c>
      <c r="P40" s="81">
        <v>0</v>
      </c>
      <c r="Q40" s="79">
        <v>0</v>
      </c>
      <c r="R40" s="79">
        <v>0</v>
      </c>
      <c r="S40" s="80">
        <f t="shared" si="17"/>
        <v>0</v>
      </c>
      <c r="T40" s="80">
        <v>0</v>
      </c>
      <c r="U40" s="49">
        <f t="shared" si="18"/>
        <v>0</v>
      </c>
      <c r="V40" s="81">
        <v>0</v>
      </c>
      <c r="W40" s="79">
        <v>0</v>
      </c>
      <c r="X40" s="79">
        <v>0</v>
      </c>
      <c r="Y40" s="80">
        <f t="shared" si="19"/>
        <v>0</v>
      </c>
      <c r="Z40" s="80">
        <v>0</v>
      </c>
      <c r="AA40" s="49">
        <f t="shared" si="20"/>
        <v>0</v>
      </c>
      <c r="AB40" s="51" t="e">
        <f t="shared" si="12"/>
        <v>#DIV/0!</v>
      </c>
      <c r="AC40" s="3"/>
      <c r="AD40" s="3"/>
    </row>
    <row r="41" spans="1:30" ht="15.75" thickBot="1" x14ac:dyDescent="0.3">
      <c r="A41" s="1"/>
      <c r="B41" s="22" t="s">
        <v>116</v>
      </c>
      <c r="C41" s="78" t="s">
        <v>73</v>
      </c>
      <c r="D41" s="79">
        <v>0</v>
      </c>
      <c r="E41" s="79">
        <v>0</v>
      </c>
      <c r="F41" s="79">
        <v>1115</v>
      </c>
      <c r="G41" s="71">
        <f t="shared" si="13"/>
        <v>1115</v>
      </c>
      <c r="H41" s="80">
        <v>0</v>
      </c>
      <c r="I41" s="49">
        <f t="shared" si="14"/>
        <v>1115</v>
      </c>
      <c r="J41" s="165">
        <v>0</v>
      </c>
      <c r="K41" s="79">
        <v>0</v>
      </c>
      <c r="L41" s="79">
        <v>742</v>
      </c>
      <c r="M41" s="80">
        <f t="shared" si="15"/>
        <v>742</v>
      </c>
      <c r="N41" s="80">
        <v>0</v>
      </c>
      <c r="O41" s="49">
        <f t="shared" si="16"/>
        <v>742</v>
      </c>
      <c r="P41" s="81">
        <v>0</v>
      </c>
      <c r="Q41" s="79">
        <v>0</v>
      </c>
      <c r="R41" s="79">
        <v>713</v>
      </c>
      <c r="S41" s="80">
        <f t="shared" si="17"/>
        <v>713</v>
      </c>
      <c r="T41" s="80">
        <v>0</v>
      </c>
      <c r="U41" s="49">
        <f t="shared" si="18"/>
        <v>713</v>
      </c>
      <c r="V41" s="81">
        <v>0</v>
      </c>
      <c r="W41" s="79">
        <v>0</v>
      </c>
      <c r="X41" s="79">
        <v>820</v>
      </c>
      <c r="Y41" s="80">
        <f t="shared" si="19"/>
        <v>820</v>
      </c>
      <c r="Z41" s="80">
        <v>0</v>
      </c>
      <c r="AA41" s="49">
        <f t="shared" si="20"/>
        <v>820</v>
      </c>
      <c r="AB41" s="51">
        <f t="shared" si="12"/>
        <v>1.105121293800539</v>
      </c>
      <c r="AC41" s="3"/>
      <c r="AD41" s="3"/>
    </row>
    <row r="42" spans="1:30" ht="15.75" thickBot="1" x14ac:dyDescent="0.3">
      <c r="A42" s="1"/>
      <c r="B42" s="52" t="s">
        <v>76</v>
      </c>
      <c r="C42" s="82" t="s">
        <v>75</v>
      </c>
      <c r="D42" s="83">
        <f>SUM(D37:D41)+SUM(D28:D34)</f>
        <v>4000</v>
      </c>
      <c r="E42" s="83">
        <f>SUM(E37:E41)+SUM(E28:E34)</f>
        <v>3892</v>
      </c>
      <c r="F42" s="83">
        <f>SUM(F37:F41)+SUM(F28:F34)</f>
        <v>6522</v>
      </c>
      <c r="G42" s="84">
        <f>SUM(D42:F42)</f>
        <v>14414</v>
      </c>
      <c r="H42" s="85">
        <f>SUM(H28:H34)+SUM(H37:H41)</f>
        <v>16</v>
      </c>
      <c r="I42" s="86">
        <f>SUM(I37:I41)+SUM(I28:I34)</f>
        <v>14430</v>
      </c>
      <c r="J42" s="83">
        <f>SUM(J37:J41)+SUM(J28:J34)</f>
        <v>4155</v>
      </c>
      <c r="K42" s="83">
        <f>SUM(K37:K41)+SUM(K28:K34)</f>
        <v>4500</v>
      </c>
      <c r="L42" s="83">
        <f>SUM(L37:L41)+SUM(L28:L34)</f>
        <v>4440</v>
      </c>
      <c r="M42" s="84">
        <f>SUM(J42:L42)</f>
        <v>13095</v>
      </c>
      <c r="N42" s="85">
        <f>SUM(N28:N34)+SUM(N37:N41)</f>
        <v>20</v>
      </c>
      <c r="O42" s="86">
        <f>SUM(O37:O41)+SUM(O28:O34)</f>
        <v>13115</v>
      </c>
      <c r="P42" s="83">
        <f>SUM(P37:P41)+SUM(P28:P34)</f>
        <v>2032</v>
      </c>
      <c r="Q42" s="83">
        <f>SUM(Q37:Q41)+SUM(Q28:Q34)</f>
        <v>746</v>
      </c>
      <c r="R42" s="83">
        <f>SUM(R37:R41)+SUM(R28:R34)</f>
        <v>4627</v>
      </c>
      <c r="S42" s="84">
        <f>SUM(P42:R42)</f>
        <v>7405</v>
      </c>
      <c r="T42" s="85">
        <f>SUM(T28:T34)+SUM(T37:T41)</f>
        <v>0</v>
      </c>
      <c r="U42" s="86">
        <f>SUM(U37:U41)+SUM(U28:U34)</f>
        <v>7405</v>
      </c>
      <c r="V42" s="83">
        <f>SUM(V37:V41)+SUM(V28:V34)</f>
        <v>4680</v>
      </c>
      <c r="W42" s="83">
        <f>SUM(W37:W41)+SUM(W28:W34)</f>
        <v>4500</v>
      </c>
      <c r="X42" s="83">
        <f>SUM(X37:X41)+SUM(X28:X34)</f>
        <v>8340</v>
      </c>
      <c r="Y42" s="84">
        <f>SUM(V42:X42)</f>
        <v>17520</v>
      </c>
      <c r="Z42" s="85">
        <f>SUM(Z28:Z34)+SUM(Z37:Z41)</f>
        <v>25</v>
      </c>
      <c r="AA42" s="86">
        <f>SUM(AA37:AA41)+SUM(AA28:AA34)</f>
        <v>17545</v>
      </c>
      <c r="AB42" s="87">
        <f t="shared" si="12"/>
        <v>1.3377811666031263</v>
      </c>
      <c r="AC42" s="3"/>
      <c r="AD42" s="3"/>
    </row>
    <row r="43" spans="1:30" ht="19.5" thickBot="1" x14ac:dyDescent="0.35">
      <c r="A43" s="1"/>
      <c r="B43" s="88" t="s">
        <v>78</v>
      </c>
      <c r="C43" s="89" t="s">
        <v>77</v>
      </c>
      <c r="D43" s="90">
        <f t="shared" ref="D43:AA43" si="21">D24-D42</f>
        <v>0</v>
      </c>
      <c r="E43" s="90">
        <f t="shared" si="21"/>
        <v>0</v>
      </c>
      <c r="F43" s="90">
        <f t="shared" si="21"/>
        <v>-900</v>
      </c>
      <c r="G43" s="91">
        <f t="shared" si="21"/>
        <v>-900</v>
      </c>
      <c r="H43" s="91">
        <f t="shared" si="21"/>
        <v>8</v>
      </c>
      <c r="I43" s="92">
        <f t="shared" si="21"/>
        <v>-892</v>
      </c>
      <c r="J43" s="90">
        <f t="shared" si="21"/>
        <v>0</v>
      </c>
      <c r="K43" s="90">
        <f t="shared" si="21"/>
        <v>0</v>
      </c>
      <c r="L43" s="90">
        <f t="shared" si="21"/>
        <v>0</v>
      </c>
      <c r="M43" s="91">
        <f t="shared" si="21"/>
        <v>0</v>
      </c>
      <c r="N43" s="91">
        <f t="shared" si="21"/>
        <v>0</v>
      </c>
      <c r="O43" s="92">
        <f t="shared" si="21"/>
        <v>0</v>
      </c>
      <c r="P43" s="90">
        <f t="shared" si="21"/>
        <v>266</v>
      </c>
      <c r="Q43" s="90">
        <f t="shared" si="21"/>
        <v>-259</v>
      </c>
      <c r="R43" s="90">
        <f t="shared" si="21"/>
        <v>256</v>
      </c>
      <c r="S43" s="91">
        <f t="shared" si="21"/>
        <v>263</v>
      </c>
      <c r="T43" s="91">
        <f t="shared" si="21"/>
        <v>16</v>
      </c>
      <c r="U43" s="92">
        <f t="shared" si="21"/>
        <v>279</v>
      </c>
      <c r="V43" s="90">
        <f t="shared" si="21"/>
        <v>0</v>
      </c>
      <c r="W43" s="90">
        <f t="shared" si="21"/>
        <v>0</v>
      </c>
      <c r="X43" s="90">
        <f t="shared" si="21"/>
        <v>0</v>
      </c>
      <c r="Y43" s="91">
        <f t="shared" si="21"/>
        <v>0</v>
      </c>
      <c r="Z43" s="91">
        <f t="shared" si="21"/>
        <v>0</v>
      </c>
      <c r="AA43" s="92">
        <f t="shared" si="21"/>
        <v>0</v>
      </c>
      <c r="AB43" s="93" t="e">
        <f t="shared" si="12"/>
        <v>#DIV/0!</v>
      </c>
      <c r="AC43" s="3"/>
      <c r="AD43" s="3"/>
    </row>
    <row r="44" spans="1:30" ht="15.75" thickBot="1" x14ac:dyDescent="0.3">
      <c r="A44" s="1"/>
      <c r="B44" s="94" t="s">
        <v>117</v>
      </c>
      <c r="C44" s="95" t="s">
        <v>79</v>
      </c>
      <c r="D44" s="96"/>
      <c r="E44" s="97"/>
      <c r="F44" s="97"/>
      <c r="G44" s="98"/>
      <c r="H44" s="99"/>
      <c r="I44" s="100">
        <f>I43-D16</f>
        <v>-4892</v>
      </c>
      <c r="J44" s="96"/>
      <c r="K44" s="97"/>
      <c r="L44" s="97"/>
      <c r="M44" s="98"/>
      <c r="N44" s="101"/>
      <c r="O44" s="100">
        <f>O43-J16</f>
        <v>-4155</v>
      </c>
      <c r="P44" s="96"/>
      <c r="Q44" s="97"/>
      <c r="R44" s="97"/>
      <c r="S44" s="98"/>
      <c r="T44" s="101"/>
      <c r="U44" s="100">
        <f>U43-P16</f>
        <v>-2019</v>
      </c>
      <c r="V44" s="96"/>
      <c r="W44" s="97"/>
      <c r="X44" s="97"/>
      <c r="Y44" s="98"/>
      <c r="Z44" s="101"/>
      <c r="AA44" s="100">
        <f>AA43-V16</f>
        <v>-4680</v>
      </c>
      <c r="AB44" s="21">
        <f t="shared" si="12"/>
        <v>1.1263537906137184</v>
      </c>
      <c r="AC44" s="3"/>
      <c r="AD44" s="3"/>
    </row>
    <row r="45" spans="1:30" s="108" customFormat="1" ht="8.25" customHeight="1" thickBot="1" x14ac:dyDescent="0.3">
      <c r="A45" s="102"/>
      <c r="B45" s="103"/>
      <c r="C45" s="104"/>
      <c r="D45" s="105"/>
      <c r="E45" s="106"/>
      <c r="F45" s="106"/>
      <c r="G45" s="102"/>
      <c r="H45" s="106"/>
      <c r="I45" s="106"/>
      <c r="J45" s="105"/>
      <c r="K45" s="106"/>
      <c r="L45" s="106"/>
      <c r="M45" s="102"/>
      <c r="N45" s="106"/>
      <c r="O45" s="106"/>
      <c r="P45" s="106"/>
      <c r="Q45" s="106"/>
      <c r="R45" s="106"/>
      <c r="S45" s="106"/>
      <c r="T45" s="106"/>
      <c r="U45" s="106"/>
      <c r="V45" s="107"/>
      <c r="W45" s="107"/>
      <c r="X45" s="107"/>
      <c r="Y45" s="107"/>
      <c r="Z45" s="107"/>
      <c r="AA45" s="107"/>
      <c r="AB45" s="107"/>
      <c r="AC45" s="107"/>
      <c r="AD45" s="107"/>
    </row>
    <row r="46" spans="1:30" s="108" customFormat="1" ht="15.75" customHeight="1" thickBot="1" x14ac:dyDescent="0.3">
      <c r="A46" s="102"/>
      <c r="B46" s="109"/>
      <c r="C46" s="201" t="s">
        <v>80</v>
      </c>
      <c r="D46" s="110" t="s">
        <v>81</v>
      </c>
      <c r="E46" s="111" t="s">
        <v>82</v>
      </c>
      <c r="F46" s="112" t="s">
        <v>83</v>
      </c>
      <c r="G46" s="106"/>
      <c r="H46" s="106"/>
      <c r="I46" s="113"/>
      <c r="J46" s="110" t="s">
        <v>81</v>
      </c>
      <c r="K46" s="111" t="s">
        <v>82</v>
      </c>
      <c r="L46" s="112" t="s">
        <v>83</v>
      </c>
      <c r="M46" s="106"/>
      <c r="N46" s="106"/>
      <c r="O46" s="106"/>
      <c r="P46" s="110" t="s">
        <v>81</v>
      </c>
      <c r="Q46" s="111" t="s">
        <v>82</v>
      </c>
      <c r="R46" s="112" t="s">
        <v>83</v>
      </c>
      <c r="S46" s="107"/>
      <c r="T46" s="107"/>
      <c r="U46" s="107"/>
      <c r="V46" s="110" t="s">
        <v>81</v>
      </c>
      <c r="W46" s="111" t="s">
        <v>82</v>
      </c>
      <c r="X46" s="112" t="s">
        <v>83</v>
      </c>
      <c r="Y46" s="107"/>
      <c r="Z46" s="107"/>
      <c r="AA46" s="107"/>
      <c r="AB46" s="107"/>
      <c r="AC46" s="107"/>
      <c r="AD46" s="107"/>
    </row>
    <row r="47" spans="1:30" ht="15.75" thickBot="1" x14ac:dyDescent="0.3">
      <c r="A47" s="1"/>
      <c r="B47" s="109"/>
      <c r="C47" s="202"/>
      <c r="D47" s="114"/>
      <c r="E47" s="115"/>
      <c r="F47" s="116">
        <v>0</v>
      </c>
      <c r="G47" s="106"/>
      <c r="H47" s="106"/>
      <c r="I47" s="113"/>
      <c r="J47" s="114"/>
      <c r="K47" s="115"/>
      <c r="L47" s="116">
        <v>0</v>
      </c>
      <c r="M47" s="117"/>
      <c r="N47" s="117"/>
      <c r="O47" s="117"/>
      <c r="P47" s="114"/>
      <c r="Q47" s="115"/>
      <c r="R47" s="116">
        <v>0</v>
      </c>
      <c r="S47" s="3"/>
      <c r="T47" s="3"/>
      <c r="U47" s="3"/>
      <c r="V47" s="114"/>
      <c r="W47" s="115"/>
      <c r="X47" s="116">
        <v>0</v>
      </c>
      <c r="Y47" s="3"/>
      <c r="Z47" s="3"/>
      <c r="AA47" s="3"/>
      <c r="AB47" s="3"/>
      <c r="AC47" s="3"/>
      <c r="AD47" s="3"/>
    </row>
    <row r="48" spans="1:30" s="108" customFormat="1" ht="8.25" customHeight="1" thickBot="1" x14ac:dyDescent="0.3">
      <c r="A48" s="102"/>
      <c r="B48" s="109"/>
      <c r="C48" s="104"/>
      <c r="D48" s="117"/>
      <c r="E48" s="106"/>
      <c r="F48" s="106"/>
      <c r="G48" s="106"/>
      <c r="H48" s="106"/>
      <c r="I48" s="113"/>
      <c r="J48" s="106"/>
      <c r="K48" s="106"/>
      <c r="L48" s="106"/>
      <c r="M48" s="106"/>
      <c r="N48" s="106"/>
      <c r="O48" s="113"/>
      <c r="P48" s="113"/>
      <c r="Q48" s="113"/>
      <c r="R48" s="113"/>
      <c r="S48" s="113"/>
      <c r="T48" s="113"/>
      <c r="U48" s="113"/>
      <c r="V48" s="107"/>
      <c r="W48" s="107"/>
      <c r="X48" s="107"/>
      <c r="Y48" s="107"/>
      <c r="Z48" s="107"/>
      <c r="AA48" s="107"/>
      <c r="AB48" s="107"/>
      <c r="AC48" s="107"/>
      <c r="AD48" s="107"/>
    </row>
    <row r="49" spans="1:30" s="108" customFormat="1" ht="37.5" customHeight="1" thickBot="1" x14ac:dyDescent="0.3">
      <c r="A49" s="102"/>
      <c r="B49" s="109"/>
      <c r="C49" s="201" t="s">
        <v>84</v>
      </c>
      <c r="D49" s="118" t="s">
        <v>85</v>
      </c>
      <c r="E49" s="119" t="s">
        <v>86</v>
      </c>
      <c r="F49" s="106"/>
      <c r="G49" s="106"/>
      <c r="H49" s="106"/>
      <c r="I49" s="113"/>
      <c r="J49" s="118" t="s">
        <v>85</v>
      </c>
      <c r="K49" s="119" t="s">
        <v>86</v>
      </c>
      <c r="L49" s="120"/>
      <c r="M49" s="120"/>
      <c r="N49" s="107"/>
      <c r="O49" s="107"/>
      <c r="P49" s="118" t="s">
        <v>85</v>
      </c>
      <c r="Q49" s="119" t="s">
        <v>86</v>
      </c>
      <c r="R49" s="107"/>
      <c r="S49" s="107"/>
      <c r="T49" s="107"/>
      <c r="U49" s="107"/>
      <c r="V49" s="118" t="s">
        <v>85</v>
      </c>
      <c r="W49" s="119" t="s">
        <v>86</v>
      </c>
      <c r="X49" s="107"/>
      <c r="Y49" s="107"/>
      <c r="Z49" s="107"/>
      <c r="AA49" s="107"/>
      <c r="AB49" s="107"/>
      <c r="AC49" s="107"/>
      <c r="AD49" s="107"/>
    </row>
    <row r="50" spans="1:30" ht="15.75" thickBot="1" x14ac:dyDescent="0.3">
      <c r="A50" s="1"/>
      <c r="B50" s="121"/>
      <c r="C50" s="203"/>
      <c r="D50" s="114">
        <v>0</v>
      </c>
      <c r="E50" s="122">
        <v>0</v>
      </c>
      <c r="F50" s="106"/>
      <c r="G50" s="106"/>
      <c r="H50" s="106"/>
      <c r="I50" s="113"/>
      <c r="J50" s="114">
        <v>0</v>
      </c>
      <c r="K50" s="122">
        <v>0</v>
      </c>
      <c r="L50" s="123"/>
      <c r="M50" s="123"/>
      <c r="N50" s="3"/>
      <c r="O50" s="3"/>
      <c r="P50" s="114">
        <v>0</v>
      </c>
      <c r="Q50" s="122">
        <v>0</v>
      </c>
      <c r="R50" s="3"/>
      <c r="S50" s="3"/>
      <c r="T50" s="3"/>
      <c r="U50" s="3"/>
      <c r="V50" s="114">
        <v>4000</v>
      </c>
      <c r="W50" s="122">
        <v>0</v>
      </c>
      <c r="X50" s="3"/>
      <c r="Y50" s="3"/>
      <c r="Z50" s="3"/>
      <c r="AA50" s="3"/>
      <c r="AB50" s="3"/>
      <c r="AC50" s="3"/>
      <c r="AD50" s="3"/>
    </row>
    <row r="51" spans="1:30" x14ac:dyDescent="0.25">
      <c r="A51" s="1"/>
      <c r="B51" s="121"/>
      <c r="C51" s="104"/>
      <c r="D51" s="106"/>
      <c r="E51" s="106"/>
      <c r="F51" s="106"/>
      <c r="G51" s="106"/>
      <c r="H51" s="106"/>
      <c r="I51" s="113"/>
      <c r="J51" s="106"/>
      <c r="K51" s="106"/>
      <c r="L51" s="106"/>
      <c r="M51" s="106"/>
      <c r="N51" s="106"/>
      <c r="O51" s="113"/>
      <c r="P51" s="113"/>
      <c r="Q51" s="113"/>
      <c r="R51" s="113"/>
      <c r="S51" s="113"/>
      <c r="T51" s="113"/>
      <c r="U51" s="113"/>
      <c r="V51" s="3"/>
      <c r="W51" s="3"/>
      <c r="X51" s="3"/>
      <c r="Y51" s="3"/>
      <c r="Z51" s="3"/>
      <c r="AA51" s="3"/>
      <c r="AB51" s="3"/>
      <c r="AC51" s="3"/>
      <c r="AD51" s="3"/>
    </row>
    <row r="52" spans="1:30" x14ac:dyDescent="0.25">
      <c r="A52" s="1"/>
      <c r="B52" s="121"/>
      <c r="C52" s="124" t="s">
        <v>87</v>
      </c>
      <c r="D52" s="125" t="s">
        <v>88</v>
      </c>
      <c r="E52" s="125" t="s">
        <v>89</v>
      </c>
      <c r="F52" s="125" t="s">
        <v>90</v>
      </c>
      <c r="G52" s="125" t="s">
        <v>91</v>
      </c>
      <c r="H52" s="106"/>
      <c r="I52" s="3"/>
      <c r="J52" s="125" t="s">
        <v>88</v>
      </c>
      <c r="K52" s="125" t="s">
        <v>89</v>
      </c>
      <c r="L52" s="125" t="s">
        <v>90</v>
      </c>
      <c r="M52" s="125" t="s">
        <v>92</v>
      </c>
      <c r="N52" s="3"/>
      <c r="O52" s="3"/>
      <c r="P52" s="125" t="s">
        <v>88</v>
      </c>
      <c r="Q52" s="125" t="s">
        <v>89</v>
      </c>
      <c r="R52" s="125" t="s">
        <v>90</v>
      </c>
      <c r="S52" s="125" t="s">
        <v>92</v>
      </c>
      <c r="T52" s="3"/>
      <c r="U52" s="3"/>
      <c r="V52" s="125" t="s">
        <v>93</v>
      </c>
      <c r="W52" s="125" t="s">
        <v>89</v>
      </c>
      <c r="X52" s="125" t="s">
        <v>90</v>
      </c>
      <c r="Y52" s="125" t="s">
        <v>92</v>
      </c>
      <c r="Z52" s="3"/>
      <c r="AA52" s="3"/>
      <c r="AB52" s="3"/>
      <c r="AC52" s="3"/>
      <c r="AD52" s="3"/>
    </row>
    <row r="53" spans="1:30" x14ac:dyDescent="0.25">
      <c r="A53" s="1"/>
      <c r="B53" s="121"/>
      <c r="C53" s="126" t="s">
        <v>118</v>
      </c>
      <c r="D53" s="130"/>
      <c r="E53" s="130"/>
      <c r="F53" s="130"/>
      <c r="G53" s="129">
        <f>D53+E53-F53</f>
        <v>0</v>
      </c>
      <c r="H53" s="106"/>
      <c r="I53" s="3"/>
      <c r="J53" s="130"/>
      <c r="K53" s="130"/>
      <c r="L53" s="130"/>
      <c r="M53" s="129">
        <f>J53+K53-L53</f>
        <v>0</v>
      </c>
      <c r="N53" s="3"/>
      <c r="O53" s="3"/>
      <c r="P53" s="130"/>
      <c r="Q53" s="130"/>
      <c r="R53" s="130"/>
      <c r="S53" s="129">
        <f>P53+Q53-R53</f>
        <v>0</v>
      </c>
      <c r="T53" s="3"/>
      <c r="U53" s="3"/>
      <c r="V53" s="130"/>
      <c r="W53" s="130"/>
      <c r="X53" s="130"/>
      <c r="Y53" s="129">
        <f>V53+W53-X53</f>
        <v>0</v>
      </c>
      <c r="Z53" s="3"/>
      <c r="AA53" s="3"/>
      <c r="AB53" s="3"/>
      <c r="AC53" s="3"/>
      <c r="AD53" s="3"/>
    </row>
    <row r="54" spans="1:30" x14ac:dyDescent="0.25">
      <c r="A54" s="1"/>
      <c r="B54" s="121"/>
      <c r="C54" s="126" t="s">
        <v>94</v>
      </c>
      <c r="D54" s="130">
        <v>4931.8</v>
      </c>
      <c r="E54" s="130">
        <v>30.6</v>
      </c>
      <c r="F54" s="130">
        <v>0</v>
      </c>
      <c r="G54" s="129">
        <f t="shared" ref="G54:G57" si="22">D54+E54-F54</f>
        <v>4962.4000000000005</v>
      </c>
      <c r="H54" s="106"/>
      <c r="I54" s="3"/>
      <c r="J54" s="130">
        <v>4962.3999999999996</v>
      </c>
      <c r="K54" s="130">
        <v>0</v>
      </c>
      <c r="L54" s="130">
        <v>0</v>
      </c>
      <c r="M54" s="129">
        <f t="shared" ref="M54:M57" si="23">J54+K54-L54</f>
        <v>4962.3999999999996</v>
      </c>
      <c r="N54" s="3"/>
      <c r="O54" s="3"/>
      <c r="P54" s="130">
        <v>4962.3999999999996</v>
      </c>
      <c r="Q54" s="130">
        <v>0</v>
      </c>
      <c r="R54" s="130">
        <v>892</v>
      </c>
      <c r="S54" s="129">
        <f t="shared" ref="S54:S57" si="24">P54+Q54-R54</f>
        <v>4070.3999999999996</v>
      </c>
      <c r="T54" s="3"/>
      <c r="U54" s="3"/>
      <c r="V54" s="130">
        <v>4070.4</v>
      </c>
      <c r="W54" s="130">
        <v>0</v>
      </c>
      <c r="X54" s="130">
        <v>0</v>
      </c>
      <c r="Y54" s="129">
        <f t="shared" ref="Y54:Y57" si="25">V54+W54-X54</f>
        <v>4070.4</v>
      </c>
      <c r="Z54" s="3"/>
      <c r="AA54" s="3"/>
      <c r="AB54" s="3"/>
      <c r="AC54" s="3"/>
      <c r="AD54" s="3"/>
    </row>
    <row r="55" spans="1:30" x14ac:dyDescent="0.25">
      <c r="A55" s="1"/>
      <c r="B55" s="121"/>
      <c r="C55" s="126" t="s">
        <v>95</v>
      </c>
      <c r="D55" s="130">
        <v>2183.9</v>
      </c>
      <c r="E55" s="130">
        <v>327.7</v>
      </c>
      <c r="F55" s="130">
        <v>703.9</v>
      </c>
      <c r="G55" s="129">
        <f t="shared" si="22"/>
        <v>1807.6999999999998</v>
      </c>
      <c r="H55" s="106"/>
      <c r="I55" s="3"/>
      <c r="J55" s="130">
        <v>2109.9</v>
      </c>
      <c r="K55" s="130">
        <v>765</v>
      </c>
      <c r="L55" s="130">
        <v>0</v>
      </c>
      <c r="M55" s="129">
        <f t="shared" si="23"/>
        <v>2874.9</v>
      </c>
      <c r="N55" s="3"/>
      <c r="O55" s="3"/>
      <c r="P55" s="130">
        <v>1807.7</v>
      </c>
      <c r="Q55" s="130">
        <v>327.7</v>
      </c>
      <c r="R55" s="130">
        <v>575.5</v>
      </c>
      <c r="S55" s="129">
        <f t="shared" si="24"/>
        <v>1559.9</v>
      </c>
      <c r="T55" s="3"/>
      <c r="U55" s="3"/>
      <c r="V55" s="130">
        <v>1559.9</v>
      </c>
      <c r="W55" s="130">
        <v>4975.5</v>
      </c>
      <c r="X55" s="130">
        <v>4000</v>
      </c>
      <c r="Y55" s="129">
        <f t="shared" si="25"/>
        <v>2535.3999999999996</v>
      </c>
      <c r="Z55" s="3"/>
      <c r="AA55" s="3"/>
      <c r="AB55" s="3"/>
      <c r="AC55" s="3"/>
      <c r="AD55" s="3"/>
    </row>
    <row r="56" spans="1:30" x14ac:dyDescent="0.25">
      <c r="A56" s="1"/>
      <c r="B56" s="121"/>
      <c r="C56" s="126" t="s">
        <v>96</v>
      </c>
      <c r="D56" s="130">
        <v>1287.9000000000001</v>
      </c>
      <c r="E56" s="130">
        <v>9</v>
      </c>
      <c r="F56" s="130">
        <v>61</v>
      </c>
      <c r="G56" s="129">
        <f t="shared" si="22"/>
        <v>1235.9000000000001</v>
      </c>
      <c r="H56" s="106"/>
      <c r="I56" s="3"/>
      <c r="J56" s="130">
        <v>1296.9000000000001</v>
      </c>
      <c r="K56" s="130">
        <v>0</v>
      </c>
      <c r="L56" s="130">
        <v>0</v>
      </c>
      <c r="M56" s="129">
        <f t="shared" si="23"/>
        <v>1296.9000000000001</v>
      </c>
      <c r="N56" s="3"/>
      <c r="O56" s="3"/>
      <c r="P56" s="130">
        <v>1235.9000000000001</v>
      </c>
      <c r="Q56" s="130">
        <v>0</v>
      </c>
      <c r="R56" s="130">
        <v>0</v>
      </c>
      <c r="S56" s="129">
        <f t="shared" si="24"/>
        <v>1235.9000000000001</v>
      </c>
      <c r="T56" s="3"/>
      <c r="U56" s="3"/>
      <c r="V56" s="130">
        <v>1235.9000000000001</v>
      </c>
      <c r="W56" s="130">
        <v>0</v>
      </c>
      <c r="X56" s="130">
        <v>0</v>
      </c>
      <c r="Y56" s="129">
        <f t="shared" si="25"/>
        <v>1235.9000000000001</v>
      </c>
      <c r="Z56" s="3"/>
      <c r="AA56" s="3"/>
      <c r="AB56" s="3"/>
      <c r="AC56" s="3"/>
      <c r="AD56" s="3"/>
    </row>
    <row r="57" spans="1:30" x14ac:dyDescent="0.25">
      <c r="A57" s="1"/>
      <c r="B57" s="121"/>
      <c r="C57" s="131" t="s">
        <v>97</v>
      </c>
      <c r="D57" s="130">
        <v>241.6</v>
      </c>
      <c r="E57" s="130">
        <v>61.7</v>
      </c>
      <c r="F57" s="130">
        <v>62.1</v>
      </c>
      <c r="G57" s="129">
        <f t="shared" si="22"/>
        <v>241.20000000000002</v>
      </c>
      <c r="H57" s="106"/>
      <c r="I57" s="3"/>
      <c r="J57" s="130">
        <v>248.6</v>
      </c>
      <c r="K57" s="130">
        <v>74</v>
      </c>
      <c r="L57" s="130">
        <v>67</v>
      </c>
      <c r="M57" s="129">
        <f t="shared" si="23"/>
        <v>255.60000000000002</v>
      </c>
      <c r="N57" s="3"/>
      <c r="O57" s="3"/>
      <c r="P57" s="130">
        <v>241.2</v>
      </c>
      <c r="Q57" s="130">
        <v>70</v>
      </c>
      <c r="R57" s="130">
        <v>75</v>
      </c>
      <c r="S57" s="129">
        <f t="shared" si="24"/>
        <v>236.2</v>
      </c>
      <c r="T57" s="3"/>
      <c r="U57" s="3"/>
      <c r="V57" s="130">
        <v>236.2</v>
      </c>
      <c r="W57" s="130">
        <v>75</v>
      </c>
      <c r="X57" s="130">
        <v>80</v>
      </c>
      <c r="Y57" s="129">
        <f t="shared" si="25"/>
        <v>231.2</v>
      </c>
      <c r="Z57" s="3"/>
      <c r="AA57" s="3"/>
      <c r="AB57" s="3"/>
      <c r="AC57" s="3"/>
      <c r="AD57" s="3"/>
    </row>
    <row r="58" spans="1:30" ht="10.5" customHeight="1" x14ac:dyDescent="0.25">
      <c r="A58" s="1"/>
      <c r="B58" s="121"/>
      <c r="C58" s="104"/>
      <c r="D58" s="106"/>
      <c r="E58" s="106"/>
      <c r="F58" s="106"/>
      <c r="G58" s="106"/>
      <c r="H58" s="106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1"/>
      <c r="B59" s="121"/>
      <c r="C59" s="124" t="s">
        <v>98</v>
      </c>
      <c r="D59" s="125" t="s">
        <v>99</v>
      </c>
      <c r="E59" s="125" t="s">
        <v>100</v>
      </c>
      <c r="F59" s="106"/>
      <c r="G59" s="106"/>
      <c r="H59" s="106"/>
      <c r="I59" s="113"/>
      <c r="J59" s="125" t="s">
        <v>101</v>
      </c>
      <c r="K59" s="106"/>
      <c r="L59" s="106"/>
      <c r="M59" s="106"/>
      <c r="N59" s="106"/>
      <c r="O59" s="113"/>
      <c r="P59" s="125" t="s">
        <v>102</v>
      </c>
      <c r="Q59" s="113"/>
      <c r="R59" s="113"/>
      <c r="S59" s="113"/>
      <c r="T59" s="113"/>
      <c r="U59" s="113"/>
      <c r="V59" s="125" t="s">
        <v>101</v>
      </c>
      <c r="W59" s="3"/>
      <c r="X59" s="3"/>
      <c r="Y59" s="3"/>
      <c r="Z59" s="3"/>
      <c r="AA59" s="3"/>
      <c r="AB59" s="3"/>
      <c r="AC59" s="3"/>
      <c r="AD59" s="3"/>
    </row>
    <row r="60" spans="1:30" x14ac:dyDescent="0.25">
      <c r="A60" s="1"/>
      <c r="B60" s="121"/>
      <c r="C60" s="126"/>
      <c r="D60" s="132">
        <v>8</v>
      </c>
      <c r="E60" s="132">
        <v>7</v>
      </c>
      <c r="F60" s="106"/>
      <c r="G60" s="106"/>
      <c r="H60" s="106"/>
      <c r="I60" s="113"/>
      <c r="J60" s="132">
        <v>8</v>
      </c>
      <c r="K60" s="106"/>
      <c r="L60" s="106"/>
      <c r="M60" s="106"/>
      <c r="N60" s="106"/>
      <c r="O60" s="113"/>
      <c r="P60" s="132">
        <v>7</v>
      </c>
      <c r="Q60" s="113"/>
      <c r="R60" s="113"/>
      <c r="S60" s="113"/>
      <c r="T60" s="113"/>
      <c r="U60" s="113"/>
      <c r="V60" s="132">
        <v>9</v>
      </c>
      <c r="W60" s="3"/>
      <c r="X60" s="3"/>
      <c r="Y60" s="3"/>
      <c r="Z60" s="3"/>
      <c r="AA60" s="3"/>
      <c r="AB60" s="3"/>
      <c r="AC60" s="3"/>
      <c r="AD60" s="3"/>
    </row>
    <row r="61" spans="1:30" x14ac:dyDescent="0.25">
      <c r="A61" s="1"/>
      <c r="B61" s="121"/>
      <c r="C61" s="104"/>
      <c r="D61" s="106"/>
      <c r="E61" s="106"/>
      <c r="F61" s="106"/>
      <c r="G61" s="106"/>
      <c r="H61" s="106"/>
      <c r="I61" s="113"/>
      <c r="J61" s="106"/>
      <c r="K61" s="106"/>
      <c r="L61" s="106"/>
      <c r="M61" s="106"/>
      <c r="N61" s="106"/>
      <c r="O61" s="113"/>
      <c r="P61" s="113"/>
      <c r="Q61" s="113"/>
      <c r="R61" s="113"/>
      <c r="S61" s="113"/>
      <c r="T61" s="113"/>
      <c r="U61" s="113"/>
      <c r="V61" s="3"/>
      <c r="W61" s="3"/>
      <c r="X61" s="3"/>
      <c r="Y61" s="3"/>
      <c r="Z61" s="3"/>
      <c r="AA61" s="3"/>
      <c r="AB61" s="3"/>
      <c r="AC61" s="3"/>
      <c r="AD61" s="3"/>
    </row>
    <row r="62" spans="1:30" x14ac:dyDescent="0.25">
      <c r="A62" s="1"/>
      <c r="B62" s="133" t="s">
        <v>103</v>
      </c>
      <c r="C62" s="134"/>
      <c r="D62" s="204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135"/>
      <c r="W62" s="135"/>
      <c r="X62" s="135"/>
      <c r="Y62" s="135"/>
      <c r="Z62" s="135"/>
      <c r="AA62" s="135"/>
      <c r="AB62" s="136"/>
      <c r="AC62" s="3"/>
      <c r="AD62" s="3"/>
    </row>
    <row r="63" spans="1:30" x14ac:dyDescent="0.25">
      <c r="A63" s="1"/>
      <c r="B63" s="137" t="s">
        <v>119</v>
      </c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38"/>
      <c r="AC63" s="3"/>
      <c r="AD63" s="3"/>
    </row>
    <row r="64" spans="1:30" x14ac:dyDescent="0.25">
      <c r="A64" s="1"/>
      <c r="B64" s="186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87"/>
      <c r="U64" s="187"/>
      <c r="V64" s="108"/>
      <c r="W64" s="108"/>
      <c r="X64" s="108"/>
      <c r="Y64" s="108"/>
      <c r="Z64" s="108"/>
      <c r="AA64" s="108"/>
      <c r="AB64" s="138"/>
      <c r="AC64" s="3"/>
      <c r="AD64" s="3"/>
    </row>
    <row r="65" spans="1:30" x14ac:dyDescent="0.25">
      <c r="A65" s="1"/>
      <c r="B65" s="186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08"/>
      <c r="W65" s="108"/>
      <c r="X65" s="108"/>
      <c r="Y65" s="108"/>
      <c r="Z65" s="108"/>
      <c r="AA65" s="108"/>
      <c r="AB65" s="138"/>
      <c r="AC65" s="3"/>
      <c r="AD65" s="3"/>
    </row>
    <row r="66" spans="1:30" x14ac:dyDescent="0.25">
      <c r="A66" s="1"/>
      <c r="B66" s="186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  <c r="U66" s="187"/>
      <c r="V66" s="108"/>
      <c r="W66" s="108"/>
      <c r="X66" s="108"/>
      <c r="Y66" s="108"/>
      <c r="Z66" s="108"/>
      <c r="AA66" s="108"/>
      <c r="AB66" s="138"/>
      <c r="AC66" s="3"/>
      <c r="AD66" s="3"/>
    </row>
    <row r="67" spans="1:30" x14ac:dyDescent="0.25">
      <c r="A67" s="1"/>
      <c r="B67" s="139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08"/>
      <c r="W67" s="108"/>
      <c r="X67" s="108"/>
      <c r="Y67" s="108"/>
      <c r="Z67" s="108"/>
      <c r="AA67" s="108"/>
      <c r="AB67" s="138"/>
      <c r="AC67" s="3"/>
      <c r="AD67" s="3"/>
    </row>
    <row r="68" spans="1:30" x14ac:dyDescent="0.25">
      <c r="A68" s="1"/>
      <c r="B68" s="139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08"/>
      <c r="W68" s="108"/>
      <c r="X68" s="108"/>
      <c r="Y68" s="108"/>
      <c r="Z68" s="108"/>
      <c r="AA68" s="108"/>
      <c r="AB68" s="138"/>
      <c r="AC68" s="3"/>
      <c r="AD68" s="3"/>
    </row>
    <row r="69" spans="1:30" x14ac:dyDescent="0.25">
      <c r="A69" s="1"/>
      <c r="B69" s="139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08"/>
      <c r="W69" s="108"/>
      <c r="X69" s="108"/>
      <c r="Y69" s="108"/>
      <c r="Z69" s="108"/>
      <c r="AA69" s="108"/>
      <c r="AB69" s="138"/>
      <c r="AC69" s="3"/>
      <c r="AD69" s="3"/>
    </row>
    <row r="70" spans="1:30" x14ac:dyDescent="0.25">
      <c r="A70" s="1"/>
      <c r="B70" s="139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08"/>
      <c r="W70" s="108"/>
      <c r="X70" s="108"/>
      <c r="Y70" s="108"/>
      <c r="Z70" s="108"/>
      <c r="AA70" s="108"/>
      <c r="AB70" s="138"/>
      <c r="AC70" s="3"/>
      <c r="AD70" s="3"/>
    </row>
    <row r="71" spans="1:30" x14ac:dyDescent="0.25">
      <c r="A71" s="1"/>
      <c r="B71" s="139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08"/>
      <c r="W71" s="108"/>
      <c r="X71" s="108"/>
      <c r="Y71" s="108"/>
      <c r="Z71" s="108"/>
      <c r="AA71" s="108"/>
      <c r="AB71" s="138"/>
      <c r="AC71" s="3"/>
      <c r="AD71" s="3"/>
    </row>
    <row r="72" spans="1:30" x14ac:dyDescent="0.25">
      <c r="A72" s="1"/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08"/>
      <c r="W72" s="108"/>
      <c r="X72" s="108"/>
      <c r="Y72" s="108"/>
      <c r="Z72" s="108"/>
      <c r="AA72" s="108"/>
      <c r="AB72" s="138"/>
      <c r="AC72" s="3"/>
      <c r="AD72" s="3"/>
    </row>
    <row r="73" spans="1:30" x14ac:dyDescent="0.25">
      <c r="A73" s="1"/>
      <c r="B73" s="139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08"/>
      <c r="W73" s="108"/>
      <c r="X73" s="108"/>
      <c r="Y73" s="108"/>
      <c r="Z73" s="108"/>
      <c r="AA73" s="108"/>
      <c r="AB73" s="138"/>
      <c r="AC73" s="3"/>
      <c r="AD73" s="3"/>
    </row>
    <row r="74" spans="1:30" x14ac:dyDescent="0.25">
      <c r="A74" s="1"/>
      <c r="B74" s="139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08"/>
      <c r="W74" s="108"/>
      <c r="X74" s="108"/>
      <c r="Y74" s="108"/>
      <c r="Z74" s="108"/>
      <c r="AA74" s="108"/>
      <c r="AB74" s="138"/>
      <c r="AC74" s="3"/>
      <c r="AD74" s="3"/>
    </row>
    <row r="75" spans="1:30" x14ac:dyDescent="0.25">
      <c r="A75" s="1"/>
      <c r="B75" s="139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08"/>
      <c r="W75" s="108"/>
      <c r="X75" s="108"/>
      <c r="Y75" s="108"/>
      <c r="Z75" s="108"/>
      <c r="AA75" s="108"/>
      <c r="AB75" s="138"/>
      <c r="AC75" s="3"/>
      <c r="AD75" s="3"/>
    </row>
    <row r="76" spans="1:30" x14ac:dyDescent="0.25">
      <c r="A76" s="1"/>
      <c r="B76" s="139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08"/>
      <c r="W76" s="108"/>
      <c r="X76" s="108"/>
      <c r="Y76" s="108"/>
      <c r="Z76" s="108"/>
      <c r="AA76" s="108"/>
      <c r="AB76" s="138"/>
      <c r="AC76" s="3"/>
      <c r="AD76" s="3"/>
    </row>
    <row r="77" spans="1:30" x14ac:dyDescent="0.25">
      <c r="A77" s="1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08"/>
      <c r="W77" s="108"/>
      <c r="X77" s="108"/>
      <c r="Y77" s="108"/>
      <c r="Z77" s="108"/>
      <c r="AA77" s="108"/>
      <c r="AB77" s="138"/>
      <c r="AC77" s="3"/>
      <c r="AD77" s="3"/>
    </row>
    <row r="78" spans="1:30" x14ac:dyDescent="0.25">
      <c r="A78" s="1"/>
      <c r="B78" s="139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08"/>
      <c r="W78" s="108"/>
      <c r="X78" s="108"/>
      <c r="Y78" s="108"/>
      <c r="Z78" s="108"/>
      <c r="AA78" s="108"/>
      <c r="AB78" s="138"/>
      <c r="AC78" s="3"/>
      <c r="AD78" s="3"/>
    </row>
    <row r="79" spans="1:30" x14ac:dyDescent="0.25">
      <c r="A79" s="1"/>
      <c r="B79" s="139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08"/>
      <c r="W79" s="108"/>
      <c r="X79" s="108"/>
      <c r="Y79" s="108"/>
      <c r="Z79" s="108"/>
      <c r="AA79" s="108"/>
      <c r="AB79" s="138"/>
      <c r="AC79" s="3"/>
      <c r="AD79" s="3"/>
    </row>
    <row r="80" spans="1:30" x14ac:dyDescent="0.25">
      <c r="A80" s="1"/>
      <c r="B80" s="139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08"/>
      <c r="W80" s="108"/>
      <c r="X80" s="108"/>
      <c r="Y80" s="108"/>
      <c r="Z80" s="108"/>
      <c r="AA80" s="108"/>
      <c r="AB80" s="138"/>
      <c r="AC80" s="3"/>
      <c r="AD80" s="3"/>
    </row>
    <row r="81" spans="1:30" x14ac:dyDescent="0.25">
      <c r="A81" s="1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08"/>
      <c r="W81" s="108"/>
      <c r="X81" s="108"/>
      <c r="Y81" s="108"/>
      <c r="Z81" s="108"/>
      <c r="AA81" s="108"/>
      <c r="AB81" s="138"/>
      <c r="AC81" s="3"/>
      <c r="AD81" s="3"/>
    </row>
    <row r="82" spans="1:30" x14ac:dyDescent="0.25">
      <c r="A82" s="1"/>
      <c r="B82" s="139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08"/>
      <c r="W82" s="108"/>
      <c r="X82" s="108"/>
      <c r="Y82" s="108"/>
      <c r="Z82" s="108"/>
      <c r="AA82" s="108"/>
      <c r="AB82" s="138"/>
      <c r="AC82" s="3"/>
      <c r="AD82" s="3"/>
    </row>
    <row r="83" spans="1:30" x14ac:dyDescent="0.25">
      <c r="A83" s="1"/>
      <c r="B83" s="139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08"/>
      <c r="W83" s="108"/>
      <c r="X83" s="108"/>
      <c r="Y83" s="108"/>
      <c r="Z83" s="108"/>
      <c r="AA83" s="108"/>
      <c r="AB83" s="138"/>
      <c r="AC83" s="3"/>
      <c r="AD83" s="3"/>
    </row>
    <row r="84" spans="1:30" x14ac:dyDescent="0.25">
      <c r="A84" s="1"/>
      <c r="B84" s="139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08"/>
      <c r="W84" s="108"/>
      <c r="X84" s="108"/>
      <c r="Y84" s="108"/>
      <c r="Z84" s="108"/>
      <c r="AA84" s="108"/>
      <c r="AB84" s="138"/>
      <c r="AC84" s="3"/>
      <c r="AD84" s="3"/>
    </row>
    <row r="85" spans="1:30" x14ac:dyDescent="0.25">
      <c r="A85" s="1"/>
      <c r="B85" s="186"/>
      <c r="C85" s="187"/>
      <c r="D85" s="187"/>
      <c r="E85" s="187"/>
      <c r="F85" s="187"/>
      <c r="G85" s="187"/>
      <c r="H85" s="187"/>
      <c r="I85" s="187"/>
      <c r="J85" s="187"/>
      <c r="K85" s="187"/>
      <c r="L85" s="187"/>
      <c r="M85" s="187"/>
      <c r="N85" s="187"/>
      <c r="O85" s="187"/>
      <c r="P85" s="187"/>
      <c r="Q85" s="187"/>
      <c r="R85" s="187"/>
      <c r="S85" s="187"/>
      <c r="T85" s="187"/>
      <c r="U85" s="187"/>
      <c r="V85" s="108"/>
      <c r="W85" s="108"/>
      <c r="X85" s="108"/>
      <c r="Y85" s="108"/>
      <c r="Z85" s="108"/>
      <c r="AA85" s="108"/>
      <c r="AB85" s="138"/>
      <c r="AC85" s="3"/>
      <c r="AD85" s="3"/>
    </row>
    <row r="86" spans="1:30" x14ac:dyDescent="0.25">
      <c r="A86" s="1"/>
      <c r="B86" s="141"/>
      <c r="C86" s="142"/>
      <c r="D86" s="142"/>
      <c r="E86" s="142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08"/>
      <c r="W86" s="108"/>
      <c r="X86" s="108"/>
      <c r="Y86" s="108"/>
      <c r="Z86" s="108"/>
      <c r="AA86" s="108"/>
      <c r="AB86" s="138"/>
      <c r="AC86" s="3"/>
      <c r="AD86" s="3"/>
    </row>
    <row r="87" spans="1:30" x14ac:dyDescent="0.25">
      <c r="A87" s="1"/>
      <c r="B87" s="143"/>
      <c r="C87" s="144"/>
      <c r="D87" s="145"/>
      <c r="E87" s="145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08"/>
      <c r="W87" s="108"/>
      <c r="X87" s="108"/>
      <c r="Y87" s="108"/>
      <c r="Z87" s="108"/>
      <c r="AA87" s="108"/>
      <c r="AB87" s="138"/>
      <c r="AC87" s="3"/>
      <c r="AD87" s="3"/>
    </row>
    <row r="88" spans="1:30" x14ac:dyDescent="0.25">
      <c r="A88" s="1"/>
      <c r="B88" s="141"/>
      <c r="C88" s="146"/>
      <c r="D88" s="145"/>
      <c r="E88" s="145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08"/>
      <c r="W88" s="108"/>
      <c r="X88" s="108"/>
      <c r="Y88" s="108"/>
      <c r="Z88" s="108"/>
      <c r="AA88" s="108"/>
      <c r="AB88" s="138"/>
      <c r="AC88" s="3"/>
      <c r="AD88" s="3"/>
    </row>
    <row r="89" spans="1:30" x14ac:dyDescent="0.25">
      <c r="A89" s="1"/>
      <c r="B89" s="141"/>
      <c r="C89" s="146"/>
      <c r="D89" s="145"/>
      <c r="E89" s="145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08"/>
      <c r="W89" s="108"/>
      <c r="X89" s="108"/>
      <c r="Y89" s="108"/>
      <c r="Z89" s="108"/>
      <c r="AA89" s="108"/>
      <c r="AB89" s="138"/>
      <c r="AC89" s="3"/>
      <c r="AD89" s="3"/>
    </row>
    <row r="90" spans="1:30" x14ac:dyDescent="0.25">
      <c r="A90" s="1"/>
      <c r="B90" s="147"/>
      <c r="C90" s="148"/>
      <c r="D90" s="149"/>
      <c r="E90" s="149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1"/>
      <c r="W90" s="151"/>
      <c r="X90" s="151"/>
      <c r="Y90" s="151"/>
      <c r="Z90" s="151"/>
      <c r="AA90" s="151"/>
      <c r="AB90" s="152"/>
      <c r="AC90" s="3"/>
      <c r="AD90" s="3"/>
    </row>
    <row r="91" spans="1:30" x14ac:dyDescent="0.25">
      <c r="A91" s="102"/>
      <c r="B91" s="153"/>
      <c r="C91" s="154"/>
      <c r="D91" s="153"/>
      <c r="E91" s="153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3"/>
      <c r="W91" s="3"/>
      <c r="X91" s="3"/>
      <c r="Y91" s="3"/>
      <c r="Z91" s="3"/>
      <c r="AA91" s="3"/>
      <c r="AB91" s="3"/>
      <c r="AC91" s="3"/>
      <c r="AD91" s="3"/>
    </row>
    <row r="92" spans="1:30" x14ac:dyDescent="0.25">
      <c r="A92" s="102"/>
      <c r="B92" s="153"/>
      <c r="C92" s="154"/>
      <c r="D92" s="153"/>
      <c r="E92" s="153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1"/>
      <c r="B93" s="156"/>
      <c r="C93" s="156"/>
      <c r="D93" s="156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156"/>
      <c r="T93" s="156"/>
      <c r="U93" s="156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1"/>
      <c r="B94" s="156" t="s">
        <v>105</v>
      </c>
      <c r="C94" s="157">
        <v>43704</v>
      </c>
      <c r="D94" s="156" t="s">
        <v>106</v>
      </c>
      <c r="E94" s="187" t="s">
        <v>120</v>
      </c>
      <c r="F94" s="187"/>
      <c r="G94" s="187"/>
      <c r="H94" s="156"/>
      <c r="I94" s="156" t="s">
        <v>108</v>
      </c>
      <c r="J94" s="188" t="s">
        <v>121</v>
      </c>
      <c r="K94" s="188"/>
      <c r="L94" s="188"/>
      <c r="M94" s="188"/>
      <c r="N94" s="156"/>
      <c r="O94" s="156"/>
      <c r="P94" s="156"/>
      <c r="Q94" s="156"/>
      <c r="R94" s="156"/>
      <c r="S94" s="156"/>
      <c r="T94" s="156"/>
      <c r="U94" s="156"/>
      <c r="V94" s="3"/>
      <c r="W94" s="3"/>
      <c r="X94" s="3"/>
      <c r="Y94" s="3"/>
      <c r="Z94" s="3"/>
      <c r="AA94" s="3"/>
      <c r="AB94" s="3"/>
      <c r="AC94" s="3"/>
      <c r="AD94" s="3"/>
    </row>
    <row r="95" spans="1:30" ht="7.5" customHeight="1" x14ac:dyDescent="0.25">
      <c r="A95" s="1"/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1"/>
      <c r="B96" s="156"/>
      <c r="C96" s="156"/>
      <c r="D96" s="156" t="s">
        <v>109</v>
      </c>
      <c r="E96" s="158"/>
      <c r="F96" s="158"/>
      <c r="G96" s="158"/>
      <c r="H96" s="156"/>
      <c r="I96" s="156" t="s">
        <v>109</v>
      </c>
      <c r="J96" s="159"/>
      <c r="K96" s="159"/>
      <c r="L96" s="159"/>
      <c r="M96" s="159"/>
      <c r="N96" s="156"/>
      <c r="O96" s="156"/>
      <c r="P96" s="156"/>
      <c r="Q96" s="156"/>
      <c r="R96" s="156"/>
      <c r="S96" s="156"/>
      <c r="T96" s="156"/>
      <c r="U96" s="156"/>
      <c r="V96" s="3"/>
      <c r="W96" s="3"/>
      <c r="X96" s="3"/>
      <c r="Y96" s="3"/>
      <c r="Z96" s="3"/>
      <c r="AA96" s="3"/>
      <c r="AB96" s="3"/>
      <c r="AC96" s="3"/>
      <c r="AD96" s="3"/>
    </row>
    <row r="97" spans="1:30" x14ac:dyDescent="0.25">
      <c r="A97" s="1"/>
      <c r="B97" s="156"/>
      <c r="C97" s="156"/>
      <c r="D97" s="156"/>
      <c r="E97" s="158"/>
      <c r="F97" s="158"/>
      <c r="G97" s="158"/>
      <c r="H97" s="156"/>
      <c r="I97" s="156"/>
      <c r="J97" s="159"/>
      <c r="K97" s="159"/>
      <c r="L97" s="159"/>
      <c r="M97" s="159"/>
      <c r="N97" s="156"/>
      <c r="O97" s="156"/>
      <c r="P97" s="156"/>
      <c r="Q97" s="156"/>
      <c r="R97" s="156"/>
      <c r="S97" s="156"/>
      <c r="T97" s="156"/>
      <c r="U97" s="156"/>
      <c r="V97" s="3"/>
      <c r="W97" s="3"/>
      <c r="X97" s="3"/>
      <c r="Y97" s="3"/>
      <c r="Z97" s="3"/>
      <c r="AA97" s="3"/>
      <c r="AB97" s="3"/>
      <c r="AC97" s="3"/>
      <c r="AD97" s="3"/>
    </row>
    <row r="98" spans="1:30" x14ac:dyDescent="0.25">
      <c r="A98" s="1"/>
      <c r="B98" s="156"/>
      <c r="C98" s="156"/>
      <c r="D98" s="156"/>
      <c r="E98" s="156"/>
      <c r="F98" s="156"/>
      <c r="G98" s="156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3"/>
      <c r="W98" s="3"/>
      <c r="X98" s="3"/>
      <c r="Y98" s="3"/>
      <c r="Z98" s="3"/>
      <c r="AA98" s="3"/>
      <c r="AB98" s="3"/>
      <c r="AC98" s="3"/>
      <c r="AD98" s="3"/>
    </row>
    <row r="99" spans="1:30" x14ac:dyDescent="0.25">
      <c r="A99" s="1"/>
      <c r="B99" s="156"/>
      <c r="C99" s="156"/>
      <c r="D99" s="156"/>
      <c r="E99" s="156"/>
      <c r="F99" s="156"/>
      <c r="G99" s="156"/>
      <c r="H99" s="156"/>
      <c r="I99" s="156"/>
      <c r="J99" s="156"/>
      <c r="K99" s="156"/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3"/>
      <c r="W99" s="3"/>
      <c r="X99" s="3"/>
      <c r="Y99" s="3"/>
      <c r="Z99" s="3"/>
      <c r="AA99" s="3"/>
      <c r="AB99" s="3"/>
      <c r="AC99" s="3"/>
      <c r="AD99" s="3"/>
    </row>
    <row r="100" spans="1:30" hidden="1" x14ac:dyDescent="0.25">
      <c r="AC100" s="4"/>
      <c r="AD100" s="4"/>
    </row>
    <row r="101" spans="1:30" hidden="1" x14ac:dyDescent="0.25"/>
    <row r="102" spans="1:30" hidden="1" x14ac:dyDescent="0.25"/>
    <row r="103" spans="1:30" hidden="1" x14ac:dyDescent="0.25"/>
    <row r="104" spans="1:30" hidden="1" x14ac:dyDescent="0.25"/>
    <row r="105" spans="1:30" hidden="1" x14ac:dyDescent="0.25"/>
    <row r="106" spans="1:30" hidden="1" x14ac:dyDescent="0.25"/>
    <row r="107" spans="1:30" hidden="1" x14ac:dyDescent="0.25"/>
    <row r="108" spans="1:30" hidden="1" x14ac:dyDescent="0.25"/>
    <row r="109" spans="1:30" hidden="1" x14ac:dyDescent="0.25"/>
    <row r="110" spans="1:30" hidden="1" x14ac:dyDescent="0.25"/>
    <row r="111" spans="1:30" hidden="1" x14ac:dyDescent="0.25"/>
    <row r="112" spans="1:30" hidden="1" x14ac:dyDescent="0.25"/>
    <row r="113" hidden="1" x14ac:dyDescent="0.25"/>
    <row r="114" hidden="1" x14ac:dyDescent="0.25"/>
    <row r="115" hidden="1" x14ac:dyDescent="0.25"/>
    <row r="116" ht="15" hidden="1" customHeight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t="15" hidden="1" customHeight="1" x14ac:dyDescent="0.25"/>
    <row r="131" ht="15" hidden="1" customHeight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</sheetData>
  <mergeCells count="65"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AA13:AA14"/>
    <mergeCell ref="AB25:AB27"/>
    <mergeCell ref="J26:L26"/>
    <mergeCell ref="M26:M27"/>
    <mergeCell ref="N26:N27"/>
    <mergeCell ref="O26:O27"/>
    <mergeCell ref="Z26:Z27"/>
    <mergeCell ref="AA26:AA27"/>
    <mergeCell ref="V26:X26"/>
    <mergeCell ref="Y26:Y27"/>
    <mergeCell ref="D25:I25"/>
    <mergeCell ref="J25:O25"/>
    <mergeCell ref="P25:U25"/>
    <mergeCell ref="V25:AA25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B64:U64"/>
    <mergeCell ref="P26:R26"/>
    <mergeCell ref="S26:S27"/>
    <mergeCell ref="T26:T27"/>
    <mergeCell ref="U26:U27"/>
    <mergeCell ref="B26:B27"/>
    <mergeCell ref="C26:C27"/>
    <mergeCell ref="D26:F26"/>
    <mergeCell ref="G26:G27"/>
    <mergeCell ref="H26:H27"/>
    <mergeCell ref="I26:I27"/>
    <mergeCell ref="C46:C47"/>
    <mergeCell ref="C49:C50"/>
    <mergeCell ref="D62:U62"/>
    <mergeCell ref="B65:U65"/>
    <mergeCell ref="B66:U66"/>
    <mergeCell ref="B85:U85"/>
    <mergeCell ref="E94:G94"/>
    <mergeCell ref="J94:M94"/>
  </mergeCells>
  <conditionalFormatting sqref="AB15:AB25">
    <cfRule type="cellIs" dxfId="15" priority="3" operator="equal">
      <formula>0</formula>
    </cfRule>
    <cfRule type="containsErrors" dxfId="14" priority="4">
      <formula>ISERROR(AB15)</formula>
    </cfRule>
  </conditionalFormatting>
  <conditionalFormatting sqref="AB28:AB44">
    <cfRule type="cellIs" dxfId="13" priority="1" operator="equal">
      <formula>0</formula>
    </cfRule>
    <cfRule type="containsErrors" dxfId="12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9" scale="27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276"/>
  <sheetViews>
    <sheetView showGridLines="0" zoomScale="80" zoomScaleNormal="80" zoomScaleSheetLayoutView="80" workbookViewId="0">
      <selection activeCell="J27" sqref="J27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60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4" hidden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1"/>
      <c r="B2" s="5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1"/>
      <c r="B4" s="1" t="s">
        <v>1</v>
      </c>
      <c r="C4" s="1"/>
      <c r="D4" s="232" t="s">
        <v>122</v>
      </c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1"/>
      <c r="B6" s="1" t="s">
        <v>3</v>
      </c>
      <c r="C6" s="1"/>
      <c r="D6" s="161">
        <v>46789944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1"/>
      <c r="B7" s="1"/>
      <c r="C7" s="1"/>
      <c r="D7" s="7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1"/>
      <c r="B8" s="1" t="s">
        <v>4</v>
      </c>
      <c r="C8" s="1"/>
      <c r="D8" s="233" t="s">
        <v>123</v>
      </c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1"/>
      <c r="B10" s="234" t="s">
        <v>6</v>
      </c>
      <c r="C10" s="199" t="s">
        <v>7</v>
      </c>
      <c r="D10" s="220" t="s">
        <v>8</v>
      </c>
      <c r="E10" s="221"/>
      <c r="F10" s="221"/>
      <c r="G10" s="221"/>
      <c r="H10" s="221"/>
      <c r="I10" s="222"/>
      <c r="J10" s="220" t="s">
        <v>9</v>
      </c>
      <c r="K10" s="221"/>
      <c r="L10" s="221"/>
      <c r="M10" s="221"/>
      <c r="N10" s="221"/>
      <c r="O10" s="222"/>
      <c r="P10" s="220" t="s">
        <v>10</v>
      </c>
      <c r="Q10" s="221"/>
      <c r="R10" s="221"/>
      <c r="S10" s="221"/>
      <c r="T10" s="221"/>
      <c r="U10" s="222"/>
      <c r="V10" s="220" t="s">
        <v>11</v>
      </c>
      <c r="W10" s="221"/>
      <c r="X10" s="221"/>
      <c r="Y10" s="221"/>
      <c r="Z10" s="221"/>
      <c r="AA10" s="222"/>
      <c r="AB10" s="223" t="s">
        <v>12</v>
      </c>
      <c r="AC10" s="3"/>
      <c r="AD10" s="3"/>
    </row>
    <row r="11" spans="1:30" ht="30.75" customHeight="1" thickBot="1" x14ac:dyDescent="0.3">
      <c r="A11" s="1"/>
      <c r="B11" s="235"/>
      <c r="C11" s="200"/>
      <c r="D11" s="226" t="s">
        <v>13</v>
      </c>
      <c r="E11" s="227"/>
      <c r="F11" s="227"/>
      <c r="G11" s="228"/>
      <c r="H11" s="8" t="s">
        <v>14</v>
      </c>
      <c r="I11" s="8" t="s">
        <v>15</v>
      </c>
      <c r="J11" s="226" t="s">
        <v>13</v>
      </c>
      <c r="K11" s="227"/>
      <c r="L11" s="227"/>
      <c r="M11" s="228"/>
      <c r="N11" s="8" t="s">
        <v>14</v>
      </c>
      <c r="O11" s="8" t="s">
        <v>15</v>
      </c>
      <c r="P11" s="226" t="s">
        <v>13</v>
      </c>
      <c r="Q11" s="227"/>
      <c r="R11" s="227"/>
      <c r="S11" s="228"/>
      <c r="T11" s="8" t="s">
        <v>14</v>
      </c>
      <c r="U11" s="8" t="s">
        <v>15</v>
      </c>
      <c r="V11" s="226" t="s">
        <v>13</v>
      </c>
      <c r="W11" s="227"/>
      <c r="X11" s="227"/>
      <c r="Y11" s="228"/>
      <c r="Z11" s="8" t="s">
        <v>14</v>
      </c>
      <c r="AA11" s="8" t="s">
        <v>15</v>
      </c>
      <c r="AB11" s="224"/>
      <c r="AC11" s="3"/>
      <c r="AD11" s="3"/>
    </row>
    <row r="12" spans="1:30" ht="15.75" customHeight="1" thickBot="1" x14ac:dyDescent="0.3">
      <c r="A12" s="1"/>
      <c r="B12" s="235"/>
      <c r="C12" s="237"/>
      <c r="D12" s="229" t="s">
        <v>16</v>
      </c>
      <c r="E12" s="230"/>
      <c r="F12" s="230"/>
      <c r="G12" s="230"/>
      <c r="H12" s="230"/>
      <c r="I12" s="231"/>
      <c r="J12" s="229" t="s">
        <v>16</v>
      </c>
      <c r="K12" s="230"/>
      <c r="L12" s="230"/>
      <c r="M12" s="230"/>
      <c r="N12" s="230"/>
      <c r="O12" s="231"/>
      <c r="P12" s="229" t="s">
        <v>16</v>
      </c>
      <c r="Q12" s="230"/>
      <c r="R12" s="230"/>
      <c r="S12" s="230"/>
      <c r="T12" s="230"/>
      <c r="U12" s="231"/>
      <c r="V12" s="229" t="s">
        <v>16</v>
      </c>
      <c r="W12" s="230"/>
      <c r="X12" s="230"/>
      <c r="Y12" s="230"/>
      <c r="Z12" s="230"/>
      <c r="AA12" s="231"/>
      <c r="AB12" s="224"/>
      <c r="AC12" s="3"/>
      <c r="AD12" s="3"/>
    </row>
    <row r="13" spans="1:30" ht="15.75" customHeight="1" thickBot="1" x14ac:dyDescent="0.3">
      <c r="A13" s="1"/>
      <c r="B13" s="236"/>
      <c r="C13" s="238"/>
      <c r="D13" s="215" t="s">
        <v>17</v>
      </c>
      <c r="E13" s="216"/>
      <c r="F13" s="216"/>
      <c r="G13" s="209" t="s">
        <v>18</v>
      </c>
      <c r="H13" s="211" t="s">
        <v>19</v>
      </c>
      <c r="I13" s="213" t="s">
        <v>16</v>
      </c>
      <c r="J13" s="215" t="s">
        <v>17</v>
      </c>
      <c r="K13" s="216"/>
      <c r="L13" s="216"/>
      <c r="M13" s="209" t="s">
        <v>18</v>
      </c>
      <c r="N13" s="211" t="s">
        <v>19</v>
      </c>
      <c r="O13" s="213" t="s">
        <v>16</v>
      </c>
      <c r="P13" s="215" t="s">
        <v>17</v>
      </c>
      <c r="Q13" s="216"/>
      <c r="R13" s="216"/>
      <c r="S13" s="209" t="s">
        <v>18</v>
      </c>
      <c r="T13" s="211" t="s">
        <v>19</v>
      </c>
      <c r="U13" s="213" t="s">
        <v>16</v>
      </c>
      <c r="V13" s="215" t="s">
        <v>17</v>
      </c>
      <c r="W13" s="216"/>
      <c r="X13" s="216"/>
      <c r="Y13" s="209" t="s">
        <v>18</v>
      </c>
      <c r="Z13" s="211" t="s">
        <v>19</v>
      </c>
      <c r="AA13" s="213" t="s">
        <v>16</v>
      </c>
      <c r="AB13" s="224"/>
      <c r="AC13" s="3"/>
      <c r="AD13" s="3"/>
    </row>
    <row r="14" spans="1:30" ht="15.75" thickBot="1" x14ac:dyDescent="0.3">
      <c r="A14" s="1"/>
      <c r="B14" s="9"/>
      <c r="C14" s="10"/>
      <c r="D14" s="11" t="s">
        <v>20</v>
      </c>
      <c r="E14" s="12" t="s">
        <v>21</v>
      </c>
      <c r="F14" s="12" t="s">
        <v>22</v>
      </c>
      <c r="G14" s="210"/>
      <c r="H14" s="212"/>
      <c r="I14" s="214"/>
      <c r="J14" s="11" t="s">
        <v>20</v>
      </c>
      <c r="K14" s="12" t="s">
        <v>21</v>
      </c>
      <c r="L14" s="12" t="s">
        <v>22</v>
      </c>
      <c r="M14" s="210"/>
      <c r="N14" s="212"/>
      <c r="O14" s="214"/>
      <c r="P14" s="11" t="s">
        <v>20</v>
      </c>
      <c r="Q14" s="12" t="s">
        <v>21</v>
      </c>
      <c r="R14" s="12" t="s">
        <v>22</v>
      </c>
      <c r="S14" s="210"/>
      <c r="T14" s="212"/>
      <c r="U14" s="214"/>
      <c r="V14" s="11" t="s">
        <v>20</v>
      </c>
      <c r="W14" s="12" t="s">
        <v>21</v>
      </c>
      <c r="X14" s="12" t="s">
        <v>22</v>
      </c>
      <c r="Y14" s="210"/>
      <c r="Z14" s="212"/>
      <c r="AA14" s="214"/>
      <c r="AB14" s="225"/>
      <c r="AC14" s="3"/>
      <c r="AD14" s="3"/>
    </row>
    <row r="15" spans="1:30" x14ac:dyDescent="0.25">
      <c r="A15" s="1"/>
      <c r="B15" s="13" t="s">
        <v>23</v>
      </c>
      <c r="C15" s="14" t="s">
        <v>24</v>
      </c>
      <c r="D15" s="16"/>
      <c r="E15" s="15"/>
      <c r="F15" s="20">
        <v>49763</v>
      </c>
      <c r="G15" s="17">
        <f>SUM(D15:F15)</f>
        <v>49763</v>
      </c>
      <c r="H15" s="18">
        <v>147.30000000000001</v>
      </c>
      <c r="I15" s="19">
        <f>G15+H15</f>
        <v>49910.3</v>
      </c>
      <c r="J15" s="16"/>
      <c r="K15" s="15"/>
      <c r="L15" s="20">
        <v>51860.4</v>
      </c>
      <c r="M15" s="17">
        <f t="shared" ref="M15:M23" si="0">SUM(J15:L15)</f>
        <v>51860.4</v>
      </c>
      <c r="N15" s="18">
        <v>73</v>
      </c>
      <c r="O15" s="19">
        <f>M15+N15</f>
        <v>51933.4</v>
      </c>
      <c r="P15" s="16"/>
      <c r="Q15" s="15"/>
      <c r="R15" s="20">
        <v>27483.4</v>
      </c>
      <c r="S15" s="17">
        <f>SUM(P15:R15)</f>
        <v>27483.4</v>
      </c>
      <c r="T15" s="18">
        <v>99</v>
      </c>
      <c r="U15" s="19">
        <f>S15+T15</f>
        <v>27582.400000000001</v>
      </c>
      <c r="V15" s="16"/>
      <c r="W15" s="15"/>
      <c r="X15" s="20">
        <v>51975</v>
      </c>
      <c r="Y15" s="17">
        <f>SUM(V15:X15)</f>
        <v>51975</v>
      </c>
      <c r="Z15" s="18">
        <v>152</v>
      </c>
      <c r="AA15" s="19">
        <f>Y15+Z15</f>
        <v>52127</v>
      </c>
      <c r="AB15" s="21">
        <f>(AA15/O15)</f>
        <v>1.0037278514404988</v>
      </c>
      <c r="AC15" s="3"/>
      <c r="AD15" s="3"/>
    </row>
    <row r="16" spans="1:30" x14ac:dyDescent="0.25">
      <c r="A16" s="1"/>
      <c r="B16" s="22" t="s">
        <v>25</v>
      </c>
      <c r="C16" s="23" t="s">
        <v>26</v>
      </c>
      <c r="D16" s="24">
        <v>20672.2</v>
      </c>
      <c r="E16" s="25"/>
      <c r="F16" s="25"/>
      <c r="G16" s="26">
        <f t="shared" ref="G16:G23" si="1">SUM(D16:F16)</f>
        <v>20672.2</v>
      </c>
      <c r="H16" s="27"/>
      <c r="I16" s="19">
        <f t="shared" ref="I16:I23" si="2">G16+H16</f>
        <v>20672.2</v>
      </c>
      <c r="J16" s="24">
        <v>24594</v>
      </c>
      <c r="K16" s="25"/>
      <c r="L16" s="25"/>
      <c r="M16" s="26">
        <f t="shared" si="0"/>
        <v>24594</v>
      </c>
      <c r="N16" s="27"/>
      <c r="O16" s="19">
        <f t="shared" ref="O16:O20" si="3">M16+N16</f>
        <v>24594</v>
      </c>
      <c r="P16" s="24">
        <v>13056.5</v>
      </c>
      <c r="Q16" s="25"/>
      <c r="R16" s="25"/>
      <c r="S16" s="26">
        <f t="shared" ref="S16:S23" si="4">SUM(P16:R16)</f>
        <v>13056.5</v>
      </c>
      <c r="T16" s="27"/>
      <c r="U16" s="19">
        <f t="shared" ref="U16:U20" si="5">S16+T16</f>
        <v>13056.5</v>
      </c>
      <c r="V16" s="24">
        <v>26508.400000000001</v>
      </c>
      <c r="W16" s="25"/>
      <c r="X16" s="25"/>
      <c r="Y16" s="26">
        <f t="shared" ref="Y16:Y23" si="6">SUM(V16:X16)</f>
        <v>26508.400000000001</v>
      </c>
      <c r="Z16" s="27"/>
      <c r="AA16" s="19">
        <f t="shared" ref="AA16:AA20" si="7">Y16+Z16</f>
        <v>26508.400000000001</v>
      </c>
      <c r="AB16" s="21">
        <f t="shared" ref="AB16:AB24" si="8">(AA16/O16)</f>
        <v>1.077840123607384</v>
      </c>
      <c r="AC16" s="3"/>
      <c r="AD16" s="3"/>
    </row>
    <row r="17" spans="1:30" x14ac:dyDescent="0.25">
      <c r="A17" s="1"/>
      <c r="B17" s="22" t="s">
        <v>27</v>
      </c>
      <c r="C17" s="28" t="s">
        <v>28</v>
      </c>
      <c r="D17" s="29">
        <v>175</v>
      </c>
      <c r="E17" s="30"/>
      <c r="F17" s="30"/>
      <c r="G17" s="26">
        <f t="shared" si="1"/>
        <v>175</v>
      </c>
      <c r="H17" s="31"/>
      <c r="I17" s="19">
        <f t="shared" si="2"/>
        <v>175</v>
      </c>
      <c r="J17" s="29">
        <v>170</v>
      </c>
      <c r="K17" s="30"/>
      <c r="L17" s="30"/>
      <c r="M17" s="26">
        <f t="shared" si="0"/>
        <v>170</v>
      </c>
      <c r="N17" s="31"/>
      <c r="O17" s="19">
        <f t="shared" si="3"/>
        <v>170</v>
      </c>
      <c r="P17" s="29"/>
      <c r="Q17" s="30"/>
      <c r="R17" s="30"/>
      <c r="S17" s="26">
        <f t="shared" si="4"/>
        <v>0</v>
      </c>
      <c r="T17" s="31"/>
      <c r="U17" s="19">
        <f t="shared" si="5"/>
        <v>0</v>
      </c>
      <c r="V17" s="29"/>
      <c r="W17" s="30"/>
      <c r="X17" s="30"/>
      <c r="Y17" s="26">
        <f t="shared" si="6"/>
        <v>0</v>
      </c>
      <c r="Z17" s="31"/>
      <c r="AA17" s="19">
        <f t="shared" si="7"/>
        <v>0</v>
      </c>
      <c r="AB17" s="21">
        <f t="shared" si="8"/>
        <v>0</v>
      </c>
      <c r="AC17" s="3"/>
      <c r="AD17" s="3"/>
    </row>
    <row r="18" spans="1:30" x14ac:dyDescent="0.25">
      <c r="A18" s="1"/>
      <c r="B18" s="22" t="s">
        <v>29</v>
      </c>
      <c r="C18" s="32" t="s">
        <v>30</v>
      </c>
      <c r="D18" s="33"/>
      <c r="E18" s="34">
        <v>35024.800000000003</v>
      </c>
      <c r="F18" s="30"/>
      <c r="G18" s="26">
        <f t="shared" si="1"/>
        <v>35024.800000000003</v>
      </c>
      <c r="H18" s="18"/>
      <c r="I18" s="19">
        <f t="shared" si="2"/>
        <v>35024.800000000003</v>
      </c>
      <c r="J18" s="33"/>
      <c r="K18" s="34">
        <v>41492</v>
      </c>
      <c r="L18" s="30"/>
      <c r="M18" s="26">
        <f t="shared" si="0"/>
        <v>41492</v>
      </c>
      <c r="N18" s="18"/>
      <c r="O18" s="19">
        <f t="shared" si="3"/>
        <v>41492</v>
      </c>
      <c r="P18" s="33"/>
      <c r="Q18" s="34">
        <v>26608.400000000001</v>
      </c>
      <c r="R18" s="30"/>
      <c r="S18" s="26">
        <f t="shared" si="4"/>
        <v>26608.400000000001</v>
      </c>
      <c r="T18" s="18"/>
      <c r="U18" s="19">
        <f t="shared" si="5"/>
        <v>26608.400000000001</v>
      </c>
      <c r="V18" s="33"/>
      <c r="W18" s="34">
        <v>45637.599999999999</v>
      </c>
      <c r="X18" s="30"/>
      <c r="Y18" s="26">
        <f t="shared" si="6"/>
        <v>45637.599999999999</v>
      </c>
      <c r="Z18" s="18"/>
      <c r="AA18" s="19">
        <f t="shared" si="7"/>
        <v>45637.599999999999</v>
      </c>
      <c r="AB18" s="21">
        <f t="shared" si="8"/>
        <v>1.0999132362865129</v>
      </c>
      <c r="AC18" s="3"/>
      <c r="AD18" s="3"/>
    </row>
    <row r="19" spans="1:30" x14ac:dyDescent="0.25">
      <c r="A19" s="1"/>
      <c r="B19" s="22" t="s">
        <v>31</v>
      </c>
      <c r="C19" s="35" t="s">
        <v>32</v>
      </c>
      <c r="D19" s="36"/>
      <c r="E19" s="30"/>
      <c r="F19" s="37"/>
      <c r="G19" s="26">
        <f t="shared" si="1"/>
        <v>0</v>
      </c>
      <c r="H19" s="38"/>
      <c r="I19" s="19">
        <f t="shared" si="2"/>
        <v>0</v>
      </c>
      <c r="J19" s="36"/>
      <c r="K19" s="30"/>
      <c r="L19" s="37"/>
      <c r="M19" s="26">
        <f t="shared" si="0"/>
        <v>0</v>
      </c>
      <c r="N19" s="38"/>
      <c r="O19" s="19">
        <f t="shared" si="3"/>
        <v>0</v>
      </c>
      <c r="P19" s="36"/>
      <c r="Q19" s="30"/>
      <c r="R19" s="37"/>
      <c r="S19" s="26">
        <f t="shared" si="4"/>
        <v>0</v>
      </c>
      <c r="T19" s="38"/>
      <c r="U19" s="19">
        <f t="shared" si="5"/>
        <v>0</v>
      </c>
      <c r="V19" s="36"/>
      <c r="W19" s="30"/>
      <c r="X19" s="37"/>
      <c r="Y19" s="26">
        <f t="shared" si="6"/>
        <v>0</v>
      </c>
      <c r="Z19" s="38"/>
      <c r="AA19" s="19">
        <f t="shared" si="7"/>
        <v>0</v>
      </c>
      <c r="AB19" s="21" t="e">
        <f t="shared" si="8"/>
        <v>#DIV/0!</v>
      </c>
      <c r="AC19" s="3"/>
      <c r="AD19" s="3"/>
    </row>
    <row r="20" spans="1:30" x14ac:dyDescent="0.25">
      <c r="A20" s="1"/>
      <c r="B20" s="22" t="s">
        <v>33</v>
      </c>
      <c r="C20" s="39" t="s">
        <v>34</v>
      </c>
      <c r="D20" s="33"/>
      <c r="E20" s="25"/>
      <c r="F20" s="40"/>
      <c r="G20" s="26"/>
      <c r="H20" s="38"/>
      <c r="I20" s="19">
        <f t="shared" si="2"/>
        <v>0</v>
      </c>
      <c r="J20" s="33"/>
      <c r="K20" s="25"/>
      <c r="L20" s="40"/>
      <c r="M20" s="26">
        <f t="shared" si="0"/>
        <v>0</v>
      </c>
      <c r="N20" s="38"/>
      <c r="O20" s="19">
        <f t="shared" si="3"/>
        <v>0</v>
      </c>
      <c r="P20" s="33"/>
      <c r="Q20" s="25"/>
      <c r="R20" s="40">
        <v>21.6</v>
      </c>
      <c r="S20" s="26">
        <f t="shared" si="4"/>
        <v>21.6</v>
      </c>
      <c r="T20" s="38"/>
      <c r="U20" s="19">
        <f t="shared" si="5"/>
        <v>21.6</v>
      </c>
      <c r="V20" s="33"/>
      <c r="W20" s="25"/>
      <c r="X20" s="40"/>
      <c r="Y20" s="26">
        <f t="shared" si="6"/>
        <v>0</v>
      </c>
      <c r="Z20" s="38"/>
      <c r="AA20" s="19">
        <f t="shared" si="7"/>
        <v>0</v>
      </c>
      <c r="AB20" s="21" t="e">
        <f t="shared" si="8"/>
        <v>#DIV/0!</v>
      </c>
      <c r="AC20" s="3"/>
      <c r="AD20" s="3"/>
    </row>
    <row r="21" spans="1:30" x14ac:dyDescent="0.25">
      <c r="A21" s="1"/>
      <c r="B21" s="22" t="s">
        <v>35</v>
      </c>
      <c r="C21" s="41" t="s">
        <v>36</v>
      </c>
      <c r="D21" s="33"/>
      <c r="E21" s="25"/>
      <c r="F21" s="40">
        <v>1517</v>
      </c>
      <c r="G21" s="26">
        <f t="shared" si="1"/>
        <v>1517</v>
      </c>
      <c r="H21" s="42">
        <v>26.9</v>
      </c>
      <c r="I21" s="19">
        <f>G21+H21</f>
        <v>1543.9</v>
      </c>
      <c r="J21" s="33"/>
      <c r="K21" s="25"/>
      <c r="L21" s="40">
        <v>1179</v>
      </c>
      <c r="M21" s="26">
        <f t="shared" si="0"/>
        <v>1179</v>
      </c>
      <c r="N21" s="42">
        <v>19</v>
      </c>
      <c r="O21" s="19">
        <f>M21+N21</f>
        <v>1198</v>
      </c>
      <c r="P21" s="33"/>
      <c r="Q21" s="25"/>
      <c r="R21" s="40">
        <v>1582.9</v>
      </c>
      <c r="S21" s="26">
        <f t="shared" si="4"/>
        <v>1582.9</v>
      </c>
      <c r="T21" s="42">
        <v>22.5</v>
      </c>
      <c r="U21" s="19">
        <f>S21+T21</f>
        <v>1605.4</v>
      </c>
      <c r="V21" s="33"/>
      <c r="W21" s="25"/>
      <c r="X21" s="40">
        <v>365</v>
      </c>
      <c r="Y21" s="26">
        <f t="shared" si="6"/>
        <v>365</v>
      </c>
      <c r="Z21" s="42">
        <v>21</v>
      </c>
      <c r="AA21" s="19">
        <f>Y21+Z21</f>
        <v>386</v>
      </c>
      <c r="AB21" s="21">
        <f t="shared" si="8"/>
        <v>0.32220367278797996</v>
      </c>
      <c r="AC21" s="3"/>
      <c r="AD21" s="3"/>
    </row>
    <row r="22" spans="1:30" x14ac:dyDescent="0.25">
      <c r="A22" s="1"/>
      <c r="B22" s="22" t="s">
        <v>37</v>
      </c>
      <c r="C22" s="41" t="s">
        <v>38</v>
      </c>
      <c r="D22" s="33"/>
      <c r="E22" s="25"/>
      <c r="F22" s="40"/>
      <c r="G22" s="26">
        <f t="shared" si="1"/>
        <v>0</v>
      </c>
      <c r="H22" s="42">
        <v>25.9</v>
      </c>
      <c r="I22" s="19">
        <f t="shared" si="2"/>
        <v>25.9</v>
      </c>
      <c r="J22" s="33"/>
      <c r="K22" s="25"/>
      <c r="L22" s="40"/>
      <c r="M22" s="26">
        <f t="shared" si="0"/>
        <v>0</v>
      </c>
      <c r="N22" s="42">
        <v>19</v>
      </c>
      <c r="O22" s="19">
        <f t="shared" ref="O22:O23" si="9">M22+N22</f>
        <v>19</v>
      </c>
      <c r="P22" s="33"/>
      <c r="Q22" s="25"/>
      <c r="R22" s="40"/>
      <c r="S22" s="26">
        <f t="shared" si="4"/>
        <v>0</v>
      </c>
      <c r="T22" s="42">
        <v>21.5</v>
      </c>
      <c r="U22" s="19">
        <f t="shared" ref="U22:U23" si="10">S22+T22</f>
        <v>21.5</v>
      </c>
      <c r="V22" s="33"/>
      <c r="W22" s="25"/>
      <c r="X22" s="40"/>
      <c r="Y22" s="26">
        <f t="shared" si="6"/>
        <v>0</v>
      </c>
      <c r="Z22" s="42">
        <v>21</v>
      </c>
      <c r="AA22" s="19">
        <f t="shared" ref="AA22:AA23" si="11">Y22+Z22</f>
        <v>21</v>
      </c>
      <c r="AB22" s="21">
        <f t="shared" si="8"/>
        <v>1.1052631578947369</v>
      </c>
      <c r="AC22" s="3"/>
      <c r="AD22" s="3"/>
    </row>
    <row r="23" spans="1:30" ht="15.75" thickBot="1" x14ac:dyDescent="0.3">
      <c r="A23" s="1"/>
      <c r="B23" s="43" t="s">
        <v>40</v>
      </c>
      <c r="C23" s="44" t="s">
        <v>41</v>
      </c>
      <c r="D23" s="46"/>
      <c r="E23" s="45"/>
      <c r="F23" s="50"/>
      <c r="G23" s="47">
        <f t="shared" si="1"/>
        <v>0</v>
      </c>
      <c r="H23" s="48"/>
      <c r="I23" s="49">
        <f t="shared" si="2"/>
        <v>0</v>
      </c>
      <c r="J23" s="46"/>
      <c r="K23" s="45"/>
      <c r="L23" s="50"/>
      <c r="M23" s="47">
        <f t="shared" si="0"/>
        <v>0</v>
      </c>
      <c r="N23" s="48"/>
      <c r="O23" s="49">
        <f t="shared" si="9"/>
        <v>0</v>
      </c>
      <c r="P23" s="46"/>
      <c r="Q23" s="45"/>
      <c r="R23" s="50">
        <v>85</v>
      </c>
      <c r="S23" s="47">
        <f t="shared" si="4"/>
        <v>85</v>
      </c>
      <c r="T23" s="48"/>
      <c r="U23" s="49">
        <f t="shared" si="10"/>
        <v>85</v>
      </c>
      <c r="V23" s="46"/>
      <c r="W23" s="45"/>
      <c r="X23" s="50"/>
      <c r="Y23" s="47">
        <f t="shared" si="6"/>
        <v>0</v>
      </c>
      <c r="Z23" s="48"/>
      <c r="AA23" s="49">
        <f t="shared" si="11"/>
        <v>0</v>
      </c>
      <c r="AB23" s="51" t="e">
        <f t="shared" si="8"/>
        <v>#DIV/0!</v>
      </c>
      <c r="AC23" s="3"/>
      <c r="AD23" s="3"/>
    </row>
    <row r="24" spans="1:30" ht="15.75" thickBot="1" x14ac:dyDescent="0.3">
      <c r="A24" s="1"/>
      <c r="B24" s="52" t="s">
        <v>42</v>
      </c>
      <c r="C24" s="53" t="s">
        <v>43</v>
      </c>
      <c r="D24" s="54">
        <f>SUM(D15:D21)</f>
        <v>20847.2</v>
      </c>
      <c r="E24" s="55">
        <f>SUM(E15:E21)</f>
        <v>35024.800000000003</v>
      </c>
      <c r="F24" s="55">
        <f>SUM(F15:F21)</f>
        <v>51280</v>
      </c>
      <c r="G24" s="56">
        <f>SUM(D24:F24)</f>
        <v>107152</v>
      </c>
      <c r="H24" s="57">
        <f>SUM(H15:H21)</f>
        <v>174.20000000000002</v>
      </c>
      <c r="I24" s="57">
        <f>SUM(I15:I21)</f>
        <v>107326.2</v>
      </c>
      <c r="J24" s="54">
        <f>SUM(J15:J21)</f>
        <v>24764</v>
      </c>
      <c r="K24" s="55">
        <f>SUM(K15:K21)</f>
        <v>41492</v>
      </c>
      <c r="L24" s="55">
        <f>SUM(L15:L21)</f>
        <v>53039.4</v>
      </c>
      <c r="M24" s="56">
        <f>SUM(J24:L24)</f>
        <v>119295.4</v>
      </c>
      <c r="N24" s="57">
        <f>SUM(N15:N21)</f>
        <v>92</v>
      </c>
      <c r="O24" s="57">
        <f>SUM(O15:O21)</f>
        <v>119387.4</v>
      </c>
      <c r="P24" s="54">
        <f>SUM(P15:P21)</f>
        <v>13056.5</v>
      </c>
      <c r="Q24" s="55">
        <f>SUM(Q15:Q21)</f>
        <v>26608.400000000001</v>
      </c>
      <c r="R24" s="55">
        <f>SUM(R15:R21)</f>
        <v>29087.9</v>
      </c>
      <c r="S24" s="56">
        <f>SUM(P24:R24)</f>
        <v>68752.800000000003</v>
      </c>
      <c r="T24" s="57">
        <f>SUM(T15:T21)</f>
        <v>121.5</v>
      </c>
      <c r="U24" s="57">
        <f>SUM(U15:U21)</f>
        <v>68874.3</v>
      </c>
      <c r="V24" s="54">
        <f>SUM(V15:V21)</f>
        <v>26508.400000000001</v>
      </c>
      <c r="W24" s="55">
        <f>SUM(W15:W21)</f>
        <v>45637.599999999999</v>
      </c>
      <c r="X24" s="55">
        <f>SUM(X15:X21)</f>
        <v>52340</v>
      </c>
      <c r="Y24" s="56">
        <f>SUM(V24:X24)</f>
        <v>124486</v>
      </c>
      <c r="Z24" s="57">
        <f>SUM(Z15:Z21)</f>
        <v>173</v>
      </c>
      <c r="AA24" s="57">
        <f>SUM(AA15:AA21)</f>
        <v>124659</v>
      </c>
      <c r="AB24" s="58">
        <f t="shared" si="8"/>
        <v>1.0441554133853321</v>
      </c>
      <c r="AC24" s="3"/>
      <c r="AD24" s="3"/>
    </row>
    <row r="25" spans="1:30" ht="15.75" customHeight="1" thickBot="1" x14ac:dyDescent="0.3">
      <c r="A25" s="1"/>
      <c r="B25" s="59"/>
      <c r="C25" s="60"/>
      <c r="D25" s="205" t="s">
        <v>44</v>
      </c>
      <c r="E25" s="206"/>
      <c r="F25" s="206"/>
      <c r="G25" s="207"/>
      <c r="H25" s="207"/>
      <c r="I25" s="208"/>
      <c r="J25" s="205" t="s">
        <v>44</v>
      </c>
      <c r="K25" s="206"/>
      <c r="L25" s="206"/>
      <c r="M25" s="207"/>
      <c r="N25" s="207"/>
      <c r="O25" s="208"/>
      <c r="P25" s="205" t="s">
        <v>44</v>
      </c>
      <c r="Q25" s="206"/>
      <c r="R25" s="206"/>
      <c r="S25" s="207"/>
      <c r="T25" s="207"/>
      <c r="U25" s="208"/>
      <c r="V25" s="205" t="s">
        <v>44</v>
      </c>
      <c r="W25" s="206"/>
      <c r="X25" s="206"/>
      <c r="Y25" s="207"/>
      <c r="Z25" s="207"/>
      <c r="AA25" s="208"/>
      <c r="AB25" s="217" t="s">
        <v>12</v>
      </c>
      <c r="AC25" s="3"/>
      <c r="AD25" s="3"/>
    </row>
    <row r="26" spans="1:30" ht="15.75" thickBot="1" x14ac:dyDescent="0.3">
      <c r="A26" s="1"/>
      <c r="B26" s="197" t="s">
        <v>6</v>
      </c>
      <c r="C26" s="199" t="s">
        <v>7</v>
      </c>
      <c r="D26" s="189" t="s">
        <v>46</v>
      </c>
      <c r="E26" s="190"/>
      <c r="F26" s="190"/>
      <c r="G26" s="191" t="s">
        <v>47</v>
      </c>
      <c r="H26" s="193" t="s">
        <v>48</v>
      </c>
      <c r="I26" s="195" t="s">
        <v>44</v>
      </c>
      <c r="J26" s="189" t="s">
        <v>46</v>
      </c>
      <c r="K26" s="190"/>
      <c r="L26" s="190"/>
      <c r="M26" s="191" t="s">
        <v>47</v>
      </c>
      <c r="N26" s="193" t="s">
        <v>48</v>
      </c>
      <c r="O26" s="195" t="s">
        <v>44</v>
      </c>
      <c r="P26" s="189" t="s">
        <v>46</v>
      </c>
      <c r="Q26" s="190"/>
      <c r="R26" s="190"/>
      <c r="S26" s="191" t="s">
        <v>47</v>
      </c>
      <c r="T26" s="193" t="s">
        <v>48</v>
      </c>
      <c r="U26" s="195" t="s">
        <v>44</v>
      </c>
      <c r="V26" s="189" t="s">
        <v>46</v>
      </c>
      <c r="W26" s="190"/>
      <c r="X26" s="190"/>
      <c r="Y26" s="191" t="s">
        <v>47</v>
      </c>
      <c r="Z26" s="193" t="s">
        <v>48</v>
      </c>
      <c r="AA26" s="195" t="s">
        <v>44</v>
      </c>
      <c r="AB26" s="218"/>
      <c r="AC26" s="3"/>
      <c r="AD26" s="3"/>
    </row>
    <row r="27" spans="1:30" ht="15.75" thickBot="1" x14ac:dyDescent="0.3">
      <c r="A27" s="1"/>
      <c r="B27" s="198"/>
      <c r="C27" s="200"/>
      <c r="D27" s="61" t="s">
        <v>49</v>
      </c>
      <c r="E27" s="62" t="s">
        <v>50</v>
      </c>
      <c r="F27" s="63" t="s">
        <v>51</v>
      </c>
      <c r="G27" s="192"/>
      <c r="H27" s="194"/>
      <c r="I27" s="196"/>
      <c r="J27" s="61" t="s">
        <v>49</v>
      </c>
      <c r="K27" s="62" t="s">
        <v>50</v>
      </c>
      <c r="L27" s="63" t="s">
        <v>51</v>
      </c>
      <c r="M27" s="192"/>
      <c r="N27" s="194"/>
      <c r="O27" s="196"/>
      <c r="P27" s="61" t="s">
        <v>49</v>
      </c>
      <c r="Q27" s="62" t="s">
        <v>50</v>
      </c>
      <c r="R27" s="63" t="s">
        <v>51</v>
      </c>
      <c r="S27" s="192"/>
      <c r="T27" s="194"/>
      <c r="U27" s="196"/>
      <c r="V27" s="61" t="s">
        <v>49</v>
      </c>
      <c r="W27" s="62" t="s">
        <v>50</v>
      </c>
      <c r="X27" s="63" t="s">
        <v>51</v>
      </c>
      <c r="Y27" s="192"/>
      <c r="Z27" s="194"/>
      <c r="AA27" s="196"/>
      <c r="AB27" s="219"/>
      <c r="AC27" s="3"/>
      <c r="AD27" s="3"/>
    </row>
    <row r="28" spans="1:30" x14ac:dyDescent="0.25">
      <c r="A28" s="1"/>
      <c r="B28" s="13" t="s">
        <v>52</v>
      </c>
      <c r="C28" s="64" t="s">
        <v>53</v>
      </c>
      <c r="D28" s="65">
        <v>339</v>
      </c>
      <c r="E28" s="65"/>
      <c r="F28" s="65">
        <v>1086.7</v>
      </c>
      <c r="G28" s="66">
        <f>SUM(D28:F28)</f>
        <v>1425.7</v>
      </c>
      <c r="H28" s="66"/>
      <c r="I28" s="67">
        <f>G28+H28</f>
        <v>1425.7</v>
      </c>
      <c r="J28" s="68">
        <v>333</v>
      </c>
      <c r="K28" s="65">
        <v>66</v>
      </c>
      <c r="L28" s="65">
        <v>274</v>
      </c>
      <c r="M28" s="66">
        <f>SUM(J28:L28)</f>
        <v>673</v>
      </c>
      <c r="N28" s="66"/>
      <c r="O28" s="67">
        <f>M28+N28</f>
        <v>673</v>
      </c>
      <c r="P28" s="68">
        <v>105</v>
      </c>
      <c r="Q28" s="65">
        <v>14.2</v>
      </c>
      <c r="R28" s="65">
        <v>470.3</v>
      </c>
      <c r="S28" s="66">
        <f>SUM(P28:R28)</f>
        <v>589.5</v>
      </c>
      <c r="T28" s="66"/>
      <c r="U28" s="67">
        <f>S28+T28</f>
        <v>589.5</v>
      </c>
      <c r="V28" s="68">
        <v>952</v>
      </c>
      <c r="W28" s="65">
        <v>40</v>
      </c>
      <c r="X28" s="65">
        <v>500</v>
      </c>
      <c r="Y28" s="66">
        <f>SUM(V28:X28)</f>
        <v>1492</v>
      </c>
      <c r="Z28" s="66"/>
      <c r="AA28" s="67">
        <f>Y28+Z28</f>
        <v>1492</v>
      </c>
      <c r="AB28" s="21">
        <f t="shared" ref="AB28:AB41" si="12">(AA28/O28)</f>
        <v>2.2169390787518575</v>
      </c>
      <c r="AC28" s="3"/>
      <c r="AD28" s="3"/>
    </row>
    <row r="29" spans="1:30" x14ac:dyDescent="0.25">
      <c r="A29" s="1"/>
      <c r="B29" s="22" t="s">
        <v>54</v>
      </c>
      <c r="C29" s="69" t="s">
        <v>55</v>
      </c>
      <c r="D29" s="70">
        <v>2742</v>
      </c>
      <c r="E29" s="70">
        <v>57.6</v>
      </c>
      <c r="F29" s="70">
        <v>10933.3</v>
      </c>
      <c r="G29" s="71">
        <f t="shared" ref="G29:G38" si="13">SUM(D29:F29)</f>
        <v>13732.9</v>
      </c>
      <c r="H29" s="72">
        <v>1.4</v>
      </c>
      <c r="I29" s="19">
        <f t="shared" ref="I29:I38" si="14">G29+H29</f>
        <v>13734.3</v>
      </c>
      <c r="J29" s="73">
        <v>3286</v>
      </c>
      <c r="K29" s="70">
        <v>1016</v>
      </c>
      <c r="L29" s="70">
        <v>10493</v>
      </c>
      <c r="M29" s="71">
        <f t="shared" ref="M29:M38" si="15">SUM(J29:L29)</f>
        <v>14795</v>
      </c>
      <c r="N29" s="72"/>
      <c r="O29" s="19">
        <f t="shared" ref="O29:O38" si="16">M29+N29</f>
        <v>14795</v>
      </c>
      <c r="P29" s="73">
        <v>1701</v>
      </c>
      <c r="Q29" s="70">
        <v>289.5</v>
      </c>
      <c r="R29" s="70">
        <v>4741.8</v>
      </c>
      <c r="S29" s="71">
        <f t="shared" ref="S29:S38" si="17">SUM(P29:R29)</f>
        <v>6732.3</v>
      </c>
      <c r="T29" s="72">
        <v>1.3</v>
      </c>
      <c r="U29" s="19">
        <f t="shared" ref="U29:U38" si="18">S29+T29</f>
        <v>6733.6</v>
      </c>
      <c r="V29" s="73">
        <v>7328</v>
      </c>
      <c r="W29" s="70">
        <v>10</v>
      </c>
      <c r="X29" s="70">
        <v>8000</v>
      </c>
      <c r="Y29" s="71">
        <f t="shared" ref="Y29:Y38" si="19">SUM(V29:X29)</f>
        <v>15338</v>
      </c>
      <c r="Z29" s="72">
        <v>3</v>
      </c>
      <c r="AA29" s="19">
        <f t="shared" ref="AA29:AA38" si="20">Y29+Z29</f>
        <v>15341</v>
      </c>
      <c r="AB29" s="21">
        <f t="shared" si="12"/>
        <v>1.0369043595809395</v>
      </c>
      <c r="AC29" s="3"/>
      <c r="AD29" s="3"/>
    </row>
    <row r="30" spans="1:30" x14ac:dyDescent="0.25">
      <c r="A30" s="1"/>
      <c r="B30" s="22" t="s">
        <v>56</v>
      </c>
      <c r="C30" s="41" t="s">
        <v>57</v>
      </c>
      <c r="D30" s="74">
        <v>1113</v>
      </c>
      <c r="E30" s="74">
        <v>100.7</v>
      </c>
      <c r="F30" s="74">
        <v>7004.1</v>
      </c>
      <c r="G30" s="71">
        <f t="shared" si="13"/>
        <v>8217.8000000000011</v>
      </c>
      <c r="H30" s="71"/>
      <c r="I30" s="19">
        <f t="shared" si="14"/>
        <v>8217.8000000000011</v>
      </c>
      <c r="J30" s="75">
        <v>784</v>
      </c>
      <c r="K30" s="74">
        <v>1585</v>
      </c>
      <c r="L30" s="74">
        <v>6746</v>
      </c>
      <c r="M30" s="71">
        <f t="shared" si="15"/>
        <v>9115</v>
      </c>
      <c r="N30" s="71"/>
      <c r="O30" s="19">
        <f t="shared" si="16"/>
        <v>9115</v>
      </c>
      <c r="P30" s="75">
        <v>578</v>
      </c>
      <c r="Q30" s="74">
        <v>265.5</v>
      </c>
      <c r="R30" s="74">
        <v>3844.5</v>
      </c>
      <c r="S30" s="71">
        <f t="shared" si="17"/>
        <v>4688</v>
      </c>
      <c r="T30" s="71"/>
      <c r="U30" s="19">
        <f t="shared" si="18"/>
        <v>4688</v>
      </c>
      <c r="V30" s="75">
        <v>3590</v>
      </c>
      <c r="W30" s="74">
        <v>560</v>
      </c>
      <c r="X30" s="74">
        <v>5000</v>
      </c>
      <c r="Y30" s="71">
        <f t="shared" si="19"/>
        <v>9150</v>
      </c>
      <c r="Z30" s="71"/>
      <c r="AA30" s="19">
        <f t="shared" si="20"/>
        <v>9150</v>
      </c>
      <c r="AB30" s="21">
        <f t="shared" si="12"/>
        <v>1.0038398244651674</v>
      </c>
      <c r="AC30" s="3"/>
      <c r="AD30" s="3"/>
    </row>
    <row r="31" spans="1:30" x14ac:dyDescent="0.25">
      <c r="A31" s="1"/>
      <c r="B31" s="22" t="s">
        <v>58</v>
      </c>
      <c r="C31" s="41" t="s">
        <v>59</v>
      </c>
      <c r="D31" s="74">
        <v>1729</v>
      </c>
      <c r="E31" s="74">
        <v>240.3</v>
      </c>
      <c r="F31" s="74">
        <v>3550</v>
      </c>
      <c r="G31" s="71">
        <f t="shared" si="13"/>
        <v>5519.3</v>
      </c>
      <c r="H31" s="71"/>
      <c r="I31" s="19">
        <f t="shared" si="14"/>
        <v>5519.3</v>
      </c>
      <c r="J31" s="75">
        <v>1711.2</v>
      </c>
      <c r="K31" s="74">
        <v>952.2</v>
      </c>
      <c r="L31" s="74">
        <v>3448.8</v>
      </c>
      <c r="M31" s="71">
        <f t="shared" si="15"/>
        <v>6112.2000000000007</v>
      </c>
      <c r="N31" s="71"/>
      <c r="O31" s="19">
        <f t="shared" si="16"/>
        <v>6112.2000000000007</v>
      </c>
      <c r="P31" s="75">
        <v>1074</v>
      </c>
      <c r="Q31" s="74">
        <v>441.2</v>
      </c>
      <c r="R31" s="74">
        <v>1682</v>
      </c>
      <c r="S31" s="71">
        <f t="shared" si="17"/>
        <v>3197.2</v>
      </c>
      <c r="T31" s="71"/>
      <c r="U31" s="19">
        <f t="shared" si="18"/>
        <v>3197.2</v>
      </c>
      <c r="V31" s="75">
        <v>2175.4</v>
      </c>
      <c r="W31" s="74">
        <v>543.6</v>
      </c>
      <c r="X31" s="74">
        <v>4000</v>
      </c>
      <c r="Y31" s="71">
        <f t="shared" si="19"/>
        <v>6719</v>
      </c>
      <c r="Z31" s="71"/>
      <c r="AA31" s="19">
        <f t="shared" si="20"/>
        <v>6719</v>
      </c>
      <c r="AB31" s="21">
        <f t="shared" si="12"/>
        <v>1.0992768561238178</v>
      </c>
      <c r="AC31" s="3"/>
      <c r="AD31" s="3"/>
    </row>
    <row r="32" spans="1:30" x14ac:dyDescent="0.25">
      <c r="A32" s="1"/>
      <c r="B32" s="22" t="s">
        <v>60</v>
      </c>
      <c r="C32" s="41" t="s">
        <v>61</v>
      </c>
      <c r="D32" s="74">
        <v>11385.2</v>
      </c>
      <c r="E32" s="74">
        <v>27008.400000000001</v>
      </c>
      <c r="F32" s="74">
        <v>17295.099999999999</v>
      </c>
      <c r="G32" s="71">
        <f t="shared" si="13"/>
        <v>55688.700000000004</v>
      </c>
      <c r="H32" s="71">
        <v>62.7</v>
      </c>
      <c r="I32" s="19">
        <f t="shared" si="14"/>
        <v>55751.4</v>
      </c>
      <c r="J32" s="75">
        <v>13580</v>
      </c>
      <c r="K32" s="74">
        <v>27420.799999999999</v>
      </c>
      <c r="L32" s="74">
        <v>21020.799999999999</v>
      </c>
      <c r="M32" s="71">
        <f t="shared" si="15"/>
        <v>62021.600000000006</v>
      </c>
      <c r="N32" s="71"/>
      <c r="O32" s="19">
        <f t="shared" si="16"/>
        <v>62021.600000000006</v>
      </c>
      <c r="P32" s="163">
        <v>5954</v>
      </c>
      <c r="Q32" s="74">
        <v>15449.9</v>
      </c>
      <c r="R32" s="74">
        <v>9206.2999999999993</v>
      </c>
      <c r="S32" s="71">
        <f t="shared" si="17"/>
        <v>30610.2</v>
      </c>
      <c r="T32" s="71">
        <v>26.4</v>
      </c>
      <c r="U32" s="19">
        <f t="shared" si="18"/>
        <v>30636.600000000002</v>
      </c>
      <c r="V32" s="75">
        <v>8110</v>
      </c>
      <c r="W32" s="74">
        <v>33038</v>
      </c>
      <c r="X32" s="74">
        <v>23388</v>
      </c>
      <c r="Y32" s="71">
        <f t="shared" si="19"/>
        <v>64536</v>
      </c>
      <c r="Z32" s="71">
        <v>60</v>
      </c>
      <c r="AA32" s="19">
        <f t="shared" si="20"/>
        <v>64596</v>
      </c>
      <c r="AB32" s="21">
        <f t="shared" si="12"/>
        <v>1.0415081197518283</v>
      </c>
      <c r="AC32" s="3"/>
      <c r="AD32" s="3"/>
    </row>
    <row r="33" spans="1:30" x14ac:dyDescent="0.25">
      <c r="A33" s="1"/>
      <c r="B33" s="22" t="s">
        <v>62</v>
      </c>
      <c r="C33" s="35" t="s">
        <v>63</v>
      </c>
      <c r="D33" s="74">
        <v>10907.1</v>
      </c>
      <c r="E33" s="74">
        <v>26967.7</v>
      </c>
      <c r="F33" s="74">
        <v>17295.099999999999</v>
      </c>
      <c r="G33" s="71">
        <f t="shared" si="13"/>
        <v>55169.9</v>
      </c>
      <c r="H33" s="71"/>
      <c r="I33" s="19">
        <f t="shared" si="14"/>
        <v>55169.9</v>
      </c>
      <c r="J33" s="75">
        <v>13580</v>
      </c>
      <c r="K33" s="74">
        <v>27352</v>
      </c>
      <c r="L33" s="74">
        <v>21020.799999999999</v>
      </c>
      <c r="M33" s="71">
        <f t="shared" si="15"/>
        <v>61952.800000000003</v>
      </c>
      <c r="N33" s="71"/>
      <c r="O33" s="19">
        <f t="shared" si="16"/>
        <v>61952.800000000003</v>
      </c>
      <c r="P33" s="163">
        <v>5718.5</v>
      </c>
      <c r="Q33" s="74">
        <v>15353.4</v>
      </c>
      <c r="R33" s="74">
        <v>9206.2999999999993</v>
      </c>
      <c r="S33" s="71">
        <f t="shared" si="17"/>
        <v>30278.2</v>
      </c>
      <c r="T33" s="71"/>
      <c r="U33" s="19">
        <f t="shared" si="18"/>
        <v>30278.2</v>
      </c>
      <c r="V33" s="75">
        <v>7682</v>
      </c>
      <c r="W33" s="74">
        <v>32766</v>
      </c>
      <c r="X33" s="74">
        <v>23388</v>
      </c>
      <c r="Y33" s="71">
        <f t="shared" si="19"/>
        <v>63836</v>
      </c>
      <c r="Z33" s="71">
        <v>60</v>
      </c>
      <c r="AA33" s="19">
        <f t="shared" si="20"/>
        <v>63896</v>
      </c>
      <c r="AB33" s="21">
        <f t="shared" si="12"/>
        <v>1.0313658139745097</v>
      </c>
      <c r="AC33" s="3"/>
      <c r="AD33" s="3"/>
    </row>
    <row r="34" spans="1:30" x14ac:dyDescent="0.25">
      <c r="A34" s="1"/>
      <c r="B34" s="22" t="s">
        <v>64</v>
      </c>
      <c r="C34" s="76" t="s">
        <v>65</v>
      </c>
      <c r="D34" s="74">
        <v>478.1</v>
      </c>
      <c r="E34" s="74">
        <v>40.700000000000003</v>
      </c>
      <c r="F34" s="74"/>
      <c r="G34" s="71">
        <f t="shared" si="13"/>
        <v>518.80000000000007</v>
      </c>
      <c r="H34" s="71">
        <v>62.7</v>
      </c>
      <c r="I34" s="19">
        <f t="shared" si="14"/>
        <v>581.50000000000011</v>
      </c>
      <c r="J34" s="75"/>
      <c r="K34" s="74">
        <v>68</v>
      </c>
      <c r="L34" s="74"/>
      <c r="M34" s="71">
        <f>SUM(J34:L34)</f>
        <v>68</v>
      </c>
      <c r="N34" s="71"/>
      <c r="O34" s="19">
        <f t="shared" si="16"/>
        <v>68</v>
      </c>
      <c r="P34" s="163">
        <v>235.5</v>
      </c>
      <c r="Q34" s="74">
        <v>96.5</v>
      </c>
      <c r="R34" s="74"/>
      <c r="S34" s="71">
        <f t="shared" si="17"/>
        <v>332</v>
      </c>
      <c r="T34" s="71">
        <v>26.4</v>
      </c>
      <c r="U34" s="19">
        <f t="shared" si="18"/>
        <v>358.4</v>
      </c>
      <c r="V34" s="75">
        <v>428</v>
      </c>
      <c r="W34" s="74">
        <v>272</v>
      </c>
      <c r="X34" s="74"/>
      <c r="Y34" s="71">
        <f t="shared" si="19"/>
        <v>700</v>
      </c>
      <c r="Z34" s="71"/>
      <c r="AA34" s="19">
        <f t="shared" si="20"/>
        <v>700</v>
      </c>
      <c r="AB34" s="21">
        <f t="shared" si="12"/>
        <v>10.294117647058824</v>
      </c>
      <c r="AC34" s="3"/>
      <c r="AD34" s="3"/>
    </row>
    <row r="35" spans="1:30" x14ac:dyDescent="0.25">
      <c r="A35" s="1"/>
      <c r="B35" s="22" t="s">
        <v>66</v>
      </c>
      <c r="C35" s="41" t="s">
        <v>67</v>
      </c>
      <c r="D35" s="74">
        <v>3422</v>
      </c>
      <c r="E35" s="74">
        <v>7536.3</v>
      </c>
      <c r="F35" s="74">
        <v>7676.9</v>
      </c>
      <c r="G35" s="71">
        <f t="shared" si="13"/>
        <v>18635.199999999997</v>
      </c>
      <c r="H35" s="71">
        <v>21.3</v>
      </c>
      <c r="I35" s="19">
        <f t="shared" si="14"/>
        <v>18656.499999999996</v>
      </c>
      <c r="J35" s="75">
        <v>3562</v>
      </c>
      <c r="K35" s="74">
        <v>9873</v>
      </c>
      <c r="L35" s="74">
        <v>7652</v>
      </c>
      <c r="M35" s="71">
        <f t="shared" si="15"/>
        <v>21087</v>
      </c>
      <c r="N35" s="71"/>
      <c r="O35" s="19">
        <f t="shared" si="16"/>
        <v>21087</v>
      </c>
      <c r="P35" s="163">
        <v>1449</v>
      </c>
      <c r="Q35" s="74">
        <v>1369.8</v>
      </c>
      <c r="R35" s="74">
        <v>7441.6</v>
      </c>
      <c r="S35" s="71">
        <f t="shared" si="17"/>
        <v>10260.400000000001</v>
      </c>
      <c r="T35" s="71">
        <v>9</v>
      </c>
      <c r="U35" s="19">
        <f t="shared" si="18"/>
        <v>10269.400000000001</v>
      </c>
      <c r="V35" s="75">
        <v>2612</v>
      </c>
      <c r="W35" s="74">
        <v>11187</v>
      </c>
      <c r="X35" s="74">
        <v>7952</v>
      </c>
      <c r="Y35" s="71">
        <f t="shared" si="19"/>
        <v>21751</v>
      </c>
      <c r="Z35" s="71">
        <v>20</v>
      </c>
      <c r="AA35" s="19">
        <f t="shared" si="20"/>
        <v>21771</v>
      </c>
      <c r="AB35" s="21">
        <f t="shared" si="12"/>
        <v>1.0324370465215535</v>
      </c>
      <c r="AC35" s="3"/>
      <c r="AD35" s="3"/>
    </row>
    <row r="36" spans="1:30" x14ac:dyDescent="0.25">
      <c r="A36" s="1"/>
      <c r="B36" s="22" t="s">
        <v>68</v>
      </c>
      <c r="C36" s="41" t="s">
        <v>69</v>
      </c>
      <c r="D36" s="74" t="s">
        <v>124</v>
      </c>
      <c r="E36" s="74"/>
      <c r="F36" s="74">
        <v>3.3</v>
      </c>
      <c r="G36" s="71">
        <f t="shared" si="13"/>
        <v>3.3</v>
      </c>
      <c r="H36" s="71"/>
      <c r="I36" s="19">
        <f t="shared" si="14"/>
        <v>3.3</v>
      </c>
      <c r="J36" s="75"/>
      <c r="K36" s="74"/>
      <c r="L36" s="74">
        <v>2</v>
      </c>
      <c r="M36" s="71">
        <f t="shared" si="15"/>
        <v>2</v>
      </c>
      <c r="N36" s="71"/>
      <c r="O36" s="19">
        <f t="shared" si="16"/>
        <v>2</v>
      </c>
      <c r="P36" s="75"/>
      <c r="Q36" s="74"/>
      <c r="R36" s="74">
        <v>1.6</v>
      </c>
      <c r="S36" s="71">
        <f t="shared" si="17"/>
        <v>1.6</v>
      </c>
      <c r="T36" s="71"/>
      <c r="U36" s="19">
        <f t="shared" si="18"/>
        <v>1.6</v>
      </c>
      <c r="V36" s="75">
        <v>4</v>
      </c>
      <c r="W36" s="74"/>
      <c r="X36" s="74"/>
      <c r="Y36" s="71">
        <f t="shared" si="19"/>
        <v>4</v>
      </c>
      <c r="Z36" s="71"/>
      <c r="AA36" s="19">
        <f t="shared" si="20"/>
        <v>4</v>
      </c>
      <c r="AB36" s="21">
        <f t="shared" si="12"/>
        <v>2</v>
      </c>
      <c r="AC36" s="3"/>
      <c r="AD36" s="3"/>
    </row>
    <row r="37" spans="1:30" x14ac:dyDescent="0.25">
      <c r="A37" s="1"/>
      <c r="B37" s="22" t="s">
        <v>70</v>
      </c>
      <c r="C37" s="41" t="s">
        <v>71</v>
      </c>
      <c r="D37" s="74">
        <v>117</v>
      </c>
      <c r="E37" s="74"/>
      <c r="F37" s="74">
        <v>370.1</v>
      </c>
      <c r="G37" s="71">
        <f t="shared" si="13"/>
        <v>487.1</v>
      </c>
      <c r="H37" s="71"/>
      <c r="I37" s="19">
        <f t="shared" si="14"/>
        <v>487.1</v>
      </c>
      <c r="J37" s="75">
        <v>682</v>
      </c>
      <c r="K37" s="74">
        <v>52</v>
      </c>
      <c r="L37" s="74">
        <v>855</v>
      </c>
      <c r="M37" s="71">
        <f t="shared" si="15"/>
        <v>1589</v>
      </c>
      <c r="N37" s="71"/>
      <c r="O37" s="19">
        <f t="shared" si="16"/>
        <v>1589</v>
      </c>
      <c r="P37" s="75">
        <v>510</v>
      </c>
      <c r="Q37" s="74">
        <v>54.3</v>
      </c>
      <c r="R37" s="74">
        <v>506.3</v>
      </c>
      <c r="S37" s="71">
        <f t="shared" si="17"/>
        <v>1070.5999999999999</v>
      </c>
      <c r="T37" s="71"/>
      <c r="U37" s="19">
        <f t="shared" si="18"/>
        <v>1070.5999999999999</v>
      </c>
      <c r="V37" s="75">
        <v>879</v>
      </c>
      <c r="W37" s="74">
        <v>53</v>
      </c>
      <c r="X37" s="74">
        <v>500</v>
      </c>
      <c r="Y37" s="71">
        <f t="shared" si="19"/>
        <v>1432</v>
      </c>
      <c r="Z37" s="71"/>
      <c r="AA37" s="19">
        <f t="shared" si="20"/>
        <v>1432</v>
      </c>
      <c r="AB37" s="21">
        <f t="shared" si="12"/>
        <v>0.90119572057898045</v>
      </c>
      <c r="AC37" s="3"/>
      <c r="AD37" s="3"/>
    </row>
    <row r="38" spans="1:30" ht="15.75" thickBot="1" x14ac:dyDescent="0.3">
      <c r="A38" s="1"/>
      <c r="B38" s="77" t="s">
        <v>72</v>
      </c>
      <c r="C38" s="78" t="s">
        <v>73</v>
      </c>
      <c r="D38" s="79"/>
      <c r="E38" s="79">
        <v>81.5</v>
      </c>
      <c r="F38" s="79">
        <v>3360.5</v>
      </c>
      <c r="G38" s="71">
        <f t="shared" si="13"/>
        <v>3442</v>
      </c>
      <c r="H38" s="80">
        <v>4.8</v>
      </c>
      <c r="I38" s="49">
        <f t="shared" si="14"/>
        <v>3446.8</v>
      </c>
      <c r="J38" s="81">
        <v>825.8</v>
      </c>
      <c r="K38" s="79">
        <v>527</v>
      </c>
      <c r="L38" s="79">
        <v>2639.8</v>
      </c>
      <c r="M38" s="80">
        <f t="shared" si="15"/>
        <v>3992.6000000000004</v>
      </c>
      <c r="N38" s="80"/>
      <c r="O38" s="49">
        <f t="shared" si="16"/>
        <v>3992.6000000000004</v>
      </c>
      <c r="P38" s="81">
        <v>607</v>
      </c>
      <c r="Q38" s="79">
        <v>221.3</v>
      </c>
      <c r="R38" s="79">
        <v>1015.8</v>
      </c>
      <c r="S38" s="80">
        <f t="shared" si="17"/>
        <v>1844.1</v>
      </c>
      <c r="T38" s="80"/>
      <c r="U38" s="49">
        <f t="shared" si="18"/>
        <v>1844.1</v>
      </c>
      <c r="V38" s="81">
        <v>948</v>
      </c>
      <c r="W38" s="79">
        <v>206</v>
      </c>
      <c r="X38" s="79">
        <v>3000</v>
      </c>
      <c r="Y38" s="80">
        <f t="shared" si="19"/>
        <v>4154</v>
      </c>
      <c r="Z38" s="80"/>
      <c r="AA38" s="49">
        <f t="shared" si="20"/>
        <v>4154</v>
      </c>
      <c r="AB38" s="51">
        <f t="shared" si="12"/>
        <v>1.0404247858538296</v>
      </c>
      <c r="AC38" s="3"/>
      <c r="AD38" s="3"/>
    </row>
    <row r="39" spans="1:30" ht="15.75" thickBot="1" x14ac:dyDescent="0.3">
      <c r="A39" s="1"/>
      <c r="B39" s="52" t="s">
        <v>74</v>
      </c>
      <c r="C39" s="82" t="s">
        <v>75</v>
      </c>
      <c r="D39" s="83">
        <f>SUM(D35:D38)+SUM(D28:D32)</f>
        <v>20847.2</v>
      </c>
      <c r="E39" s="83">
        <f>SUM(E35:E38)+SUM(E28:E32)</f>
        <v>35024.800000000003</v>
      </c>
      <c r="F39" s="83">
        <f>SUM(F35:F38)+SUM(F28:F32)</f>
        <v>51280</v>
      </c>
      <c r="G39" s="84">
        <f>SUM(D39:F39)</f>
        <v>107152</v>
      </c>
      <c r="H39" s="85">
        <f>SUM(H28:H32)+SUM(H35:H38)</f>
        <v>90.200000000000017</v>
      </c>
      <c r="I39" s="86">
        <f>SUM(I35:I38)+SUM(I28:I32)</f>
        <v>107242.2</v>
      </c>
      <c r="J39" s="83">
        <f>SUM(J35:J38)+SUM(J28:J32)</f>
        <v>24764</v>
      </c>
      <c r="K39" s="83">
        <f>SUM(K35:K38)+SUM(K28:K32)</f>
        <v>41492</v>
      </c>
      <c r="L39" s="83">
        <f>SUM(L35:L38)+SUM(L28:L32)</f>
        <v>53131.399999999994</v>
      </c>
      <c r="M39" s="84">
        <f>SUM(J39:L39)</f>
        <v>119387.4</v>
      </c>
      <c r="N39" s="85">
        <f>SUM(N28:N32)+SUM(N35:N38)</f>
        <v>0</v>
      </c>
      <c r="O39" s="86">
        <f>SUM(O35:O38)+SUM(O28:O32)</f>
        <v>119387.4</v>
      </c>
      <c r="P39" s="83">
        <f>SUM(P35:P38)+SUM(P28:P32)</f>
        <v>11978</v>
      </c>
      <c r="Q39" s="83">
        <f>SUM(Q35:Q38)+SUM(Q28:Q32)</f>
        <v>18105.7</v>
      </c>
      <c r="R39" s="83">
        <f>SUM(R35:R38)+SUM(R28:R32)</f>
        <v>28910.200000000004</v>
      </c>
      <c r="S39" s="84">
        <f>SUM(P39:R39)</f>
        <v>58993.900000000009</v>
      </c>
      <c r="T39" s="85">
        <f>SUM(T28:T32)+SUM(T35:T38)</f>
        <v>36.700000000000003</v>
      </c>
      <c r="U39" s="86">
        <f>SUM(U35:U38)+SUM(U28:U32)</f>
        <v>59030.600000000006</v>
      </c>
      <c r="V39" s="83">
        <f>SUM(V35:V38)+SUM(V28:V32)</f>
        <v>26598.400000000001</v>
      </c>
      <c r="W39" s="83">
        <f>SUM(W35:W38)+SUM(W28:W32)</f>
        <v>45637.599999999999</v>
      </c>
      <c r="X39" s="83">
        <f>SUM(X35:X38)+SUM(X28:X32)</f>
        <v>52340</v>
      </c>
      <c r="Y39" s="84">
        <f>SUM(V39:X39)</f>
        <v>124576</v>
      </c>
      <c r="Z39" s="85">
        <f>SUM(Z28:Z32)+SUM(Z35:Z38)</f>
        <v>83</v>
      </c>
      <c r="AA39" s="86">
        <f>SUM(AA35:AA38)+SUM(AA28:AA32)</f>
        <v>124659</v>
      </c>
      <c r="AB39" s="87">
        <f t="shared" si="12"/>
        <v>1.0441554133853321</v>
      </c>
      <c r="AC39" s="3"/>
      <c r="AD39" s="3"/>
    </row>
    <row r="40" spans="1:30" ht="19.5" thickBot="1" x14ac:dyDescent="0.35">
      <c r="A40" s="1"/>
      <c r="B40" s="88" t="s">
        <v>76</v>
      </c>
      <c r="C40" s="89" t="s">
        <v>77</v>
      </c>
      <c r="D40" s="90">
        <f t="shared" ref="D40:AA40" si="21">D24-D39</f>
        <v>0</v>
      </c>
      <c r="E40" s="90">
        <f t="shared" si="21"/>
        <v>0</v>
      </c>
      <c r="F40" s="90">
        <f t="shared" si="21"/>
        <v>0</v>
      </c>
      <c r="G40" s="91">
        <f t="shared" si="21"/>
        <v>0</v>
      </c>
      <c r="H40" s="91">
        <f t="shared" si="21"/>
        <v>84</v>
      </c>
      <c r="I40" s="92">
        <f t="shared" si="21"/>
        <v>84</v>
      </c>
      <c r="J40" s="90">
        <f t="shared" si="21"/>
        <v>0</v>
      </c>
      <c r="K40" s="90">
        <f t="shared" si="21"/>
        <v>0</v>
      </c>
      <c r="L40" s="90">
        <f t="shared" si="21"/>
        <v>-91.999999999992724</v>
      </c>
      <c r="M40" s="91">
        <f t="shared" si="21"/>
        <v>-92</v>
      </c>
      <c r="N40" s="91">
        <f t="shared" si="21"/>
        <v>92</v>
      </c>
      <c r="O40" s="92">
        <f t="shared" si="21"/>
        <v>0</v>
      </c>
      <c r="P40" s="90">
        <f t="shared" si="21"/>
        <v>1078.5</v>
      </c>
      <c r="Q40" s="90">
        <f t="shared" si="21"/>
        <v>8502.7000000000007</v>
      </c>
      <c r="R40" s="90">
        <f t="shared" si="21"/>
        <v>177.69999999999709</v>
      </c>
      <c r="S40" s="91">
        <f t="shared" si="21"/>
        <v>9758.8999999999942</v>
      </c>
      <c r="T40" s="91">
        <f t="shared" si="21"/>
        <v>84.8</v>
      </c>
      <c r="U40" s="92">
        <f t="shared" si="21"/>
        <v>9843.6999999999971</v>
      </c>
      <c r="V40" s="90">
        <f t="shared" si="21"/>
        <v>-90</v>
      </c>
      <c r="W40" s="90">
        <f t="shared" si="21"/>
        <v>0</v>
      </c>
      <c r="X40" s="90">
        <f t="shared" si="21"/>
        <v>0</v>
      </c>
      <c r="Y40" s="91">
        <f t="shared" si="21"/>
        <v>-90</v>
      </c>
      <c r="Z40" s="91">
        <f t="shared" si="21"/>
        <v>90</v>
      </c>
      <c r="AA40" s="92">
        <f t="shared" si="21"/>
        <v>0</v>
      </c>
      <c r="AB40" s="93" t="e">
        <f t="shared" si="12"/>
        <v>#DIV/0!</v>
      </c>
      <c r="AC40" s="3"/>
      <c r="AD40" s="3"/>
    </row>
    <row r="41" spans="1:30" ht="15.75" thickBot="1" x14ac:dyDescent="0.3">
      <c r="A41" s="1"/>
      <c r="B41" s="94" t="s">
        <v>78</v>
      </c>
      <c r="C41" s="95" t="s">
        <v>79</v>
      </c>
      <c r="D41" s="96"/>
      <c r="E41" s="97"/>
      <c r="F41" s="97"/>
      <c r="G41" s="98"/>
      <c r="H41" s="99"/>
      <c r="I41" s="100">
        <f>I40-D16</f>
        <v>-20588.2</v>
      </c>
      <c r="J41" s="96"/>
      <c r="K41" s="97"/>
      <c r="L41" s="97"/>
      <c r="M41" s="98"/>
      <c r="N41" s="101"/>
      <c r="O41" s="100">
        <f>O40-J16</f>
        <v>-24594</v>
      </c>
      <c r="P41" s="96"/>
      <c r="Q41" s="97"/>
      <c r="R41" s="97"/>
      <c r="S41" s="98"/>
      <c r="T41" s="101"/>
      <c r="U41" s="100">
        <f>U40-P16</f>
        <v>-3212.8000000000029</v>
      </c>
      <c r="V41" s="96"/>
      <c r="W41" s="97"/>
      <c r="X41" s="97"/>
      <c r="Y41" s="98"/>
      <c r="Z41" s="101"/>
      <c r="AA41" s="100">
        <f>AA40-V16</f>
        <v>-26508.400000000001</v>
      </c>
      <c r="AB41" s="21">
        <f t="shared" si="12"/>
        <v>1.077840123607384</v>
      </c>
      <c r="AC41" s="3"/>
      <c r="AD41" s="3"/>
    </row>
    <row r="42" spans="1:30" s="108" customFormat="1" ht="8.25" customHeight="1" thickBot="1" x14ac:dyDescent="0.3">
      <c r="A42" s="102"/>
      <c r="B42" s="103"/>
      <c r="C42" s="104"/>
      <c r="D42" s="105"/>
      <c r="E42" s="106"/>
      <c r="F42" s="106"/>
      <c r="G42" s="102"/>
      <c r="H42" s="106"/>
      <c r="I42" s="106"/>
      <c r="J42" s="105"/>
      <c r="K42" s="106"/>
      <c r="L42" s="106"/>
      <c r="M42" s="102"/>
      <c r="N42" s="106"/>
      <c r="O42" s="106"/>
      <c r="P42" s="106"/>
      <c r="Q42" s="106"/>
      <c r="R42" s="106"/>
      <c r="S42" s="106"/>
      <c r="T42" s="106"/>
      <c r="U42" s="106"/>
      <c r="V42" s="107"/>
      <c r="W42" s="107"/>
      <c r="X42" s="107"/>
      <c r="Y42" s="107"/>
      <c r="Z42" s="107"/>
      <c r="AA42" s="107"/>
      <c r="AB42" s="107"/>
      <c r="AC42" s="107"/>
      <c r="AD42" s="107"/>
    </row>
    <row r="43" spans="1:30" s="108" customFormat="1" ht="15.75" customHeight="1" thickBot="1" x14ac:dyDescent="0.3">
      <c r="A43" s="102"/>
      <c r="B43" s="109"/>
      <c r="C43" s="201" t="s">
        <v>80</v>
      </c>
      <c r="D43" s="110" t="s">
        <v>81</v>
      </c>
      <c r="E43" s="111" t="s">
        <v>82</v>
      </c>
      <c r="F43" s="112" t="s">
        <v>83</v>
      </c>
      <c r="G43" s="106"/>
      <c r="H43" s="106"/>
      <c r="I43" s="113"/>
      <c r="J43" s="110" t="s">
        <v>81</v>
      </c>
      <c r="K43" s="111" t="s">
        <v>82</v>
      </c>
      <c r="L43" s="112" t="s">
        <v>83</v>
      </c>
      <c r="M43" s="106"/>
      <c r="N43" s="106"/>
      <c r="O43" s="106"/>
      <c r="P43" s="110" t="s">
        <v>81</v>
      </c>
      <c r="Q43" s="111" t="s">
        <v>82</v>
      </c>
      <c r="R43" s="112" t="s">
        <v>83</v>
      </c>
      <c r="S43" s="107"/>
      <c r="T43" s="107"/>
      <c r="U43" s="107"/>
      <c r="V43" s="110" t="s">
        <v>81</v>
      </c>
      <c r="W43" s="111" t="s">
        <v>82</v>
      </c>
      <c r="X43" s="112" t="s">
        <v>83</v>
      </c>
      <c r="Y43" s="107"/>
      <c r="Z43" s="107"/>
      <c r="AA43" s="107"/>
      <c r="AB43" s="107"/>
      <c r="AC43" s="107"/>
      <c r="AD43" s="107"/>
    </row>
    <row r="44" spans="1:30" ht="15.75" thickBot="1" x14ac:dyDescent="0.3">
      <c r="A44" s="1"/>
      <c r="B44" s="109"/>
      <c r="C44" s="202"/>
      <c r="D44" s="114">
        <v>225</v>
      </c>
      <c r="E44" s="115"/>
      <c r="F44" s="116">
        <v>225</v>
      </c>
      <c r="G44" s="106"/>
      <c r="H44" s="106"/>
      <c r="I44" s="113"/>
      <c r="J44" s="114">
        <v>224</v>
      </c>
      <c r="K44" s="115"/>
      <c r="L44" s="116">
        <v>0</v>
      </c>
      <c r="M44" s="117"/>
      <c r="N44" s="117"/>
      <c r="O44" s="117"/>
      <c r="P44" s="114">
        <v>224</v>
      </c>
      <c r="Q44" s="115"/>
      <c r="R44" s="116">
        <v>224</v>
      </c>
      <c r="S44" s="3"/>
      <c r="T44" s="3"/>
      <c r="U44" s="3"/>
      <c r="V44" s="114">
        <v>0</v>
      </c>
      <c r="W44" s="115">
        <v>0</v>
      </c>
      <c r="X44" s="116">
        <v>0</v>
      </c>
      <c r="Y44" s="3"/>
      <c r="Z44" s="3"/>
      <c r="AA44" s="3"/>
      <c r="AB44" s="3"/>
      <c r="AC44" s="3"/>
      <c r="AD44" s="3"/>
    </row>
    <row r="45" spans="1:30" s="108" customFormat="1" ht="8.25" customHeight="1" thickBot="1" x14ac:dyDescent="0.3">
      <c r="A45" s="102"/>
      <c r="B45" s="109"/>
      <c r="C45" s="104"/>
      <c r="D45" s="117"/>
      <c r="E45" s="106"/>
      <c r="F45" s="106"/>
      <c r="G45" s="106"/>
      <c r="H45" s="106"/>
      <c r="I45" s="113"/>
      <c r="J45" s="106"/>
      <c r="K45" s="106"/>
      <c r="L45" s="106"/>
      <c r="M45" s="106"/>
      <c r="N45" s="106"/>
      <c r="O45" s="113"/>
      <c r="P45" s="113"/>
      <c r="Q45" s="113"/>
      <c r="R45" s="113"/>
      <c r="S45" s="113"/>
      <c r="T45" s="113"/>
      <c r="U45" s="113"/>
      <c r="V45" s="107"/>
      <c r="W45" s="107"/>
      <c r="X45" s="107"/>
      <c r="Y45" s="107"/>
      <c r="Z45" s="107"/>
      <c r="AA45" s="107"/>
      <c r="AB45" s="107"/>
      <c r="AC45" s="107"/>
      <c r="AD45" s="107"/>
    </row>
    <row r="46" spans="1:30" s="108" customFormat="1" ht="37.5" customHeight="1" thickBot="1" x14ac:dyDescent="0.3">
      <c r="A46" s="102"/>
      <c r="B46" s="109"/>
      <c r="C46" s="201" t="s">
        <v>84</v>
      </c>
      <c r="D46" s="118" t="s">
        <v>85</v>
      </c>
      <c r="E46" s="119" t="s">
        <v>86</v>
      </c>
      <c r="F46" s="106"/>
      <c r="G46" s="106"/>
      <c r="H46" s="106"/>
      <c r="I46" s="113"/>
      <c r="J46" s="118" t="s">
        <v>85</v>
      </c>
      <c r="K46" s="119" t="s">
        <v>86</v>
      </c>
      <c r="L46" s="120"/>
      <c r="M46" s="120"/>
      <c r="N46" s="107"/>
      <c r="O46" s="107"/>
      <c r="P46" s="118" t="s">
        <v>85</v>
      </c>
      <c r="Q46" s="119" t="s">
        <v>86</v>
      </c>
      <c r="R46" s="107"/>
      <c r="S46" s="107"/>
      <c r="T46" s="107"/>
      <c r="U46" s="107"/>
      <c r="V46" s="118" t="s">
        <v>85</v>
      </c>
      <c r="W46" s="119" t="s">
        <v>86</v>
      </c>
      <c r="X46" s="107"/>
      <c r="Y46" s="107"/>
      <c r="Z46" s="107"/>
      <c r="AA46" s="107"/>
      <c r="AB46" s="107"/>
      <c r="AC46" s="107"/>
      <c r="AD46" s="107"/>
    </row>
    <row r="47" spans="1:30" ht="15.75" thickBot="1" x14ac:dyDescent="0.3">
      <c r="A47" s="1"/>
      <c r="B47" s="121"/>
      <c r="C47" s="203"/>
      <c r="D47" s="114">
        <v>0</v>
      </c>
      <c r="E47" s="122">
        <v>0</v>
      </c>
      <c r="F47" s="106"/>
      <c r="G47" s="106"/>
      <c r="H47" s="106"/>
      <c r="I47" s="113"/>
      <c r="J47" s="114">
        <v>0</v>
      </c>
      <c r="K47" s="122">
        <v>0</v>
      </c>
      <c r="L47" s="123"/>
      <c r="M47" s="123"/>
      <c r="N47" s="3"/>
      <c r="O47" s="3"/>
      <c r="P47" s="114">
        <v>0</v>
      </c>
      <c r="Q47" s="122">
        <v>0</v>
      </c>
      <c r="R47" s="3"/>
      <c r="S47" s="3"/>
      <c r="T47" s="3"/>
      <c r="U47" s="3"/>
      <c r="V47" s="114">
        <v>0</v>
      </c>
      <c r="W47" s="122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1"/>
      <c r="B48" s="121"/>
      <c r="C48" s="104"/>
      <c r="D48" s="106"/>
      <c r="E48" s="106"/>
      <c r="F48" s="106"/>
      <c r="G48" s="106"/>
      <c r="H48" s="106"/>
      <c r="I48" s="113"/>
      <c r="J48" s="106"/>
      <c r="K48" s="106"/>
      <c r="L48" s="106"/>
      <c r="M48" s="106"/>
      <c r="N48" s="106"/>
      <c r="O48" s="113"/>
      <c r="P48" s="113"/>
      <c r="Q48" s="113"/>
      <c r="R48" s="113"/>
      <c r="S48" s="113"/>
      <c r="T48" s="113"/>
      <c r="U48" s="113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1"/>
      <c r="B49" s="121"/>
      <c r="C49" s="124" t="s">
        <v>87</v>
      </c>
      <c r="D49" s="125" t="s">
        <v>88</v>
      </c>
      <c r="E49" s="125" t="s">
        <v>89</v>
      </c>
      <c r="F49" s="125" t="s">
        <v>90</v>
      </c>
      <c r="G49" s="125" t="s">
        <v>91</v>
      </c>
      <c r="H49" s="106"/>
      <c r="I49" s="3"/>
      <c r="J49" s="125" t="s">
        <v>88</v>
      </c>
      <c r="K49" s="125" t="s">
        <v>89</v>
      </c>
      <c r="L49" s="125" t="s">
        <v>90</v>
      </c>
      <c r="M49" s="125" t="s">
        <v>92</v>
      </c>
      <c r="N49" s="3"/>
      <c r="O49" s="3"/>
      <c r="P49" s="125" t="s">
        <v>88</v>
      </c>
      <c r="Q49" s="125" t="s">
        <v>89</v>
      </c>
      <c r="R49" s="125" t="s">
        <v>90</v>
      </c>
      <c r="S49" s="125" t="s">
        <v>92</v>
      </c>
      <c r="T49" s="3"/>
      <c r="U49" s="3"/>
      <c r="V49" s="125" t="s">
        <v>93</v>
      </c>
      <c r="W49" s="125" t="s">
        <v>89</v>
      </c>
      <c r="X49" s="125" t="s">
        <v>90</v>
      </c>
      <c r="Y49" s="125" t="s">
        <v>92</v>
      </c>
      <c r="Z49" s="3"/>
      <c r="AA49" s="3"/>
      <c r="AB49" s="3"/>
      <c r="AC49" s="3"/>
      <c r="AD49" s="3"/>
    </row>
    <row r="50" spans="1:30" x14ac:dyDescent="0.25">
      <c r="A50" s="1"/>
      <c r="B50" s="121"/>
      <c r="C50" s="126" t="s">
        <v>118</v>
      </c>
      <c r="D50" s="130"/>
      <c r="E50" s="130"/>
      <c r="F50" s="130"/>
      <c r="G50" s="129">
        <f>D50+E50-F50</f>
        <v>0</v>
      </c>
      <c r="H50" s="106"/>
      <c r="I50" s="3"/>
      <c r="J50" s="130"/>
      <c r="K50" s="130"/>
      <c r="L50" s="130"/>
      <c r="M50" s="129">
        <f>J50+K50-L50</f>
        <v>0</v>
      </c>
      <c r="N50" s="3"/>
      <c r="O50" s="3"/>
      <c r="P50" s="130"/>
      <c r="Q50" s="130"/>
      <c r="R50" s="130"/>
      <c r="S50" s="129">
        <f>P50+Q50-R50</f>
        <v>0</v>
      </c>
      <c r="T50" s="3"/>
      <c r="U50" s="3"/>
      <c r="V50" s="130"/>
      <c r="W50" s="130"/>
      <c r="X50" s="130"/>
      <c r="Y50" s="129">
        <f>V50+W50-X50</f>
        <v>0</v>
      </c>
      <c r="Z50" s="3"/>
      <c r="AA50" s="3"/>
      <c r="AB50" s="3"/>
      <c r="AC50" s="3"/>
      <c r="AD50" s="3"/>
    </row>
    <row r="51" spans="1:30" x14ac:dyDescent="0.25">
      <c r="A51" s="1"/>
      <c r="B51" s="121"/>
      <c r="C51" s="126" t="s">
        <v>94</v>
      </c>
      <c r="D51" s="130">
        <v>322.8</v>
      </c>
      <c r="E51" s="130">
        <v>1196</v>
      </c>
      <c r="F51" s="130">
        <v>34.5</v>
      </c>
      <c r="G51" s="129">
        <f t="shared" ref="G51:G54" si="22">D51+E51-F51</f>
        <v>1484.3</v>
      </c>
      <c r="H51" s="106"/>
      <c r="I51" s="3"/>
      <c r="J51" s="130">
        <v>1484.3</v>
      </c>
      <c r="K51" s="130">
        <v>84</v>
      </c>
      <c r="L51" s="130">
        <v>40</v>
      </c>
      <c r="M51" s="129">
        <f t="shared" ref="M51:M54" si="23">J51+K51-L51</f>
        <v>1528.3</v>
      </c>
      <c r="N51" s="3"/>
      <c r="O51" s="3"/>
      <c r="P51" s="130">
        <v>1484.3</v>
      </c>
      <c r="Q51" s="130">
        <v>130.19999999999999</v>
      </c>
      <c r="R51" s="130">
        <v>1105.5</v>
      </c>
      <c r="S51" s="129">
        <f t="shared" ref="S51:S54" si="24">P51+Q51-R51</f>
        <v>509</v>
      </c>
      <c r="T51" s="3"/>
      <c r="U51" s="3"/>
      <c r="V51" s="130">
        <v>509</v>
      </c>
      <c r="W51" s="130">
        <v>80</v>
      </c>
      <c r="X51" s="130"/>
      <c r="Y51" s="129">
        <f t="shared" ref="Y51:Y54" si="25">V51+W51-X51</f>
        <v>589</v>
      </c>
      <c r="Z51" s="3"/>
      <c r="AA51" s="3"/>
      <c r="AB51" s="3"/>
      <c r="AC51" s="3"/>
      <c r="AD51" s="3"/>
    </row>
    <row r="52" spans="1:30" x14ac:dyDescent="0.25">
      <c r="A52" s="1"/>
      <c r="B52" s="121"/>
      <c r="C52" s="126" t="s">
        <v>95</v>
      </c>
      <c r="D52" s="130">
        <v>683.7</v>
      </c>
      <c r="E52" s="130">
        <v>487.1</v>
      </c>
      <c r="F52" s="130">
        <v>941.8</v>
      </c>
      <c r="G52" s="129">
        <f t="shared" si="22"/>
        <v>229.00000000000023</v>
      </c>
      <c r="H52" s="106"/>
      <c r="I52" s="3"/>
      <c r="J52" s="130">
        <v>229</v>
      </c>
      <c r="K52" s="130">
        <v>1589</v>
      </c>
      <c r="L52" s="130">
        <v>1088</v>
      </c>
      <c r="M52" s="129">
        <f t="shared" si="23"/>
        <v>730</v>
      </c>
      <c r="N52" s="3"/>
      <c r="O52" s="3"/>
      <c r="P52" s="130">
        <v>229</v>
      </c>
      <c r="Q52" s="130">
        <v>1183.5999999999999</v>
      </c>
      <c r="R52" s="130">
        <v>1225.0999999999999</v>
      </c>
      <c r="S52" s="129">
        <f t="shared" si="24"/>
        <v>187.5</v>
      </c>
      <c r="T52" s="3"/>
      <c r="U52" s="3"/>
      <c r="V52" s="130">
        <v>187.5</v>
      </c>
      <c r="W52" s="130">
        <v>1432</v>
      </c>
      <c r="X52" s="130">
        <v>1095</v>
      </c>
      <c r="Y52" s="129">
        <f t="shared" si="25"/>
        <v>524.5</v>
      </c>
      <c r="Z52" s="3"/>
      <c r="AA52" s="3"/>
      <c r="AB52" s="3"/>
      <c r="AC52" s="3"/>
      <c r="AD52" s="3"/>
    </row>
    <row r="53" spans="1:30" x14ac:dyDescent="0.25">
      <c r="A53" s="1"/>
      <c r="B53" s="121"/>
      <c r="C53" s="126" t="s">
        <v>96</v>
      </c>
      <c r="D53" s="130">
        <v>109.6</v>
      </c>
      <c r="E53" s="130"/>
      <c r="F53" s="130"/>
      <c r="G53" s="129">
        <f t="shared" si="22"/>
        <v>109.6</v>
      </c>
      <c r="H53" s="106"/>
      <c r="I53" s="3"/>
      <c r="J53" s="130">
        <v>109.6</v>
      </c>
      <c r="K53" s="130"/>
      <c r="L53" s="130"/>
      <c r="M53" s="129">
        <f t="shared" si="23"/>
        <v>109.6</v>
      </c>
      <c r="N53" s="3"/>
      <c r="O53" s="3"/>
      <c r="P53" s="130">
        <v>109.6</v>
      </c>
      <c r="Q53" s="130"/>
      <c r="R53" s="130"/>
      <c r="S53" s="129">
        <f t="shared" si="24"/>
        <v>109.6</v>
      </c>
      <c r="T53" s="3"/>
      <c r="U53" s="3"/>
      <c r="V53" s="130">
        <v>109.6</v>
      </c>
      <c r="W53" s="130"/>
      <c r="X53" s="130"/>
      <c r="Y53" s="129">
        <f t="shared" si="25"/>
        <v>109.6</v>
      </c>
      <c r="Z53" s="3"/>
      <c r="AA53" s="3"/>
      <c r="AB53" s="3"/>
      <c r="AC53" s="3"/>
      <c r="AD53" s="3"/>
    </row>
    <row r="54" spans="1:30" x14ac:dyDescent="0.25">
      <c r="A54" s="1"/>
      <c r="B54" s="121"/>
      <c r="C54" s="131" t="s">
        <v>97</v>
      </c>
      <c r="D54" s="130">
        <v>306.3</v>
      </c>
      <c r="E54" s="130">
        <v>1104.0999999999999</v>
      </c>
      <c r="F54" s="130">
        <v>1069.5999999999999</v>
      </c>
      <c r="G54" s="129">
        <f t="shared" si="22"/>
        <v>340.79999999999995</v>
      </c>
      <c r="H54" s="106"/>
      <c r="I54" s="3"/>
      <c r="J54" s="130">
        <v>340.8</v>
      </c>
      <c r="K54" s="130">
        <v>1239</v>
      </c>
      <c r="L54" s="130">
        <v>1565</v>
      </c>
      <c r="M54" s="129">
        <f t="shared" si="23"/>
        <v>14.799999999999955</v>
      </c>
      <c r="N54" s="3"/>
      <c r="O54" s="3"/>
      <c r="P54" s="130">
        <v>340.9</v>
      </c>
      <c r="Q54" s="130">
        <v>605.6</v>
      </c>
      <c r="R54" s="130">
        <v>418.6</v>
      </c>
      <c r="S54" s="129">
        <f t="shared" si="24"/>
        <v>527.9</v>
      </c>
      <c r="T54" s="3"/>
      <c r="U54" s="3"/>
      <c r="V54" s="130">
        <v>527.9</v>
      </c>
      <c r="W54" s="130">
        <v>1286</v>
      </c>
      <c r="X54" s="130">
        <v>1600</v>
      </c>
      <c r="Y54" s="129">
        <f t="shared" si="25"/>
        <v>213.90000000000009</v>
      </c>
      <c r="Z54" s="3"/>
      <c r="AA54" s="3"/>
      <c r="AB54" s="3"/>
      <c r="AC54" s="3"/>
      <c r="AD54" s="3"/>
    </row>
    <row r="55" spans="1:30" ht="10.5" customHeight="1" x14ac:dyDescent="0.25">
      <c r="A55" s="1"/>
      <c r="B55" s="121"/>
      <c r="C55" s="104"/>
      <c r="D55" s="106"/>
      <c r="E55" s="106"/>
      <c r="F55" s="106"/>
      <c r="G55" s="106"/>
      <c r="H55" s="106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1"/>
      <c r="B56" s="121"/>
      <c r="C56" s="124" t="s">
        <v>98</v>
      </c>
      <c r="D56" s="125" t="s">
        <v>99</v>
      </c>
      <c r="E56" s="125" t="s">
        <v>100</v>
      </c>
      <c r="F56" s="106"/>
      <c r="G56" s="106"/>
      <c r="H56" s="106"/>
      <c r="I56" s="113"/>
      <c r="J56" s="125" t="s">
        <v>101</v>
      </c>
      <c r="K56" s="106"/>
      <c r="L56" s="106"/>
      <c r="M56" s="106"/>
      <c r="N56" s="106"/>
      <c r="O56" s="113"/>
      <c r="P56" s="125" t="s">
        <v>102</v>
      </c>
      <c r="Q56" s="113"/>
      <c r="R56" s="113"/>
      <c r="S56" s="113"/>
      <c r="T56" s="113"/>
      <c r="U56" s="113"/>
      <c r="V56" s="125" t="s">
        <v>101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1"/>
      <c r="B57" s="121"/>
      <c r="C57" s="126"/>
      <c r="D57" s="132">
        <v>197.1</v>
      </c>
      <c r="E57" s="132">
        <v>200.8</v>
      </c>
      <c r="F57" s="106"/>
      <c r="G57" s="106"/>
      <c r="H57" s="106"/>
      <c r="I57" s="113"/>
      <c r="J57" s="132">
        <v>198</v>
      </c>
      <c r="K57" s="106"/>
      <c r="L57" s="106"/>
      <c r="M57" s="106"/>
      <c r="N57" s="106"/>
      <c r="O57" s="113"/>
      <c r="P57" s="132">
        <v>198.4</v>
      </c>
      <c r="Q57" s="113"/>
      <c r="R57" s="113"/>
      <c r="S57" s="113"/>
      <c r="T57" s="113"/>
      <c r="U57" s="113"/>
      <c r="V57" s="132">
        <v>198</v>
      </c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1"/>
      <c r="B58" s="121"/>
      <c r="C58" s="104"/>
      <c r="D58" s="106"/>
      <c r="E58" s="106"/>
      <c r="F58" s="106"/>
      <c r="G58" s="106"/>
      <c r="H58" s="106"/>
      <c r="I58" s="113"/>
      <c r="J58" s="106"/>
      <c r="K58" s="106"/>
      <c r="L58" s="106"/>
      <c r="M58" s="106"/>
      <c r="N58" s="106"/>
      <c r="O58" s="113"/>
      <c r="P58" s="113"/>
      <c r="Q58" s="113"/>
      <c r="R58" s="113"/>
      <c r="S58" s="113"/>
      <c r="T58" s="113"/>
      <c r="U58" s="113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1"/>
      <c r="B59" s="133" t="s">
        <v>103</v>
      </c>
      <c r="C59" s="134"/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204"/>
      <c r="P59" s="204"/>
      <c r="Q59" s="204"/>
      <c r="R59" s="204"/>
      <c r="S59" s="204"/>
      <c r="T59" s="204"/>
      <c r="U59" s="204"/>
      <c r="V59" s="135"/>
      <c r="W59" s="135"/>
      <c r="X59" s="135"/>
      <c r="Y59" s="135"/>
      <c r="Z59" s="135"/>
      <c r="AA59" s="135"/>
      <c r="AB59" s="136"/>
      <c r="AC59" s="3"/>
      <c r="AD59" s="3"/>
    </row>
    <row r="60" spans="1:30" x14ac:dyDescent="0.25">
      <c r="A60" s="1"/>
      <c r="B60" s="137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38"/>
      <c r="AC60" s="3"/>
      <c r="AD60" s="3"/>
    </row>
    <row r="61" spans="1:30" x14ac:dyDescent="0.25">
      <c r="A61" s="1"/>
      <c r="B61" s="186" t="s">
        <v>125</v>
      </c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08"/>
      <c r="W61" s="108"/>
      <c r="X61" s="108"/>
      <c r="Y61" s="108"/>
      <c r="Z61" s="108"/>
      <c r="AA61" s="108"/>
      <c r="AB61" s="138"/>
      <c r="AC61" s="3"/>
      <c r="AD61" s="3"/>
    </row>
    <row r="62" spans="1:30" x14ac:dyDescent="0.25">
      <c r="A62" s="1"/>
      <c r="B62" s="186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08"/>
      <c r="W62" s="108"/>
      <c r="X62" s="108"/>
      <c r="Y62" s="108"/>
      <c r="Z62" s="108"/>
      <c r="AA62" s="108"/>
      <c r="AB62" s="138"/>
      <c r="AC62" s="3"/>
      <c r="AD62" s="3"/>
    </row>
    <row r="63" spans="1:30" x14ac:dyDescent="0.25">
      <c r="A63" s="1"/>
      <c r="B63" s="186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  <c r="U63" s="187"/>
      <c r="V63" s="108"/>
      <c r="W63" s="108"/>
      <c r="X63" s="108"/>
      <c r="Y63" s="108"/>
      <c r="Z63" s="108"/>
      <c r="AA63" s="108"/>
      <c r="AB63" s="138"/>
      <c r="AC63" s="3"/>
      <c r="AD63" s="3"/>
    </row>
    <row r="64" spans="1:30" x14ac:dyDescent="0.25">
      <c r="A64" s="1"/>
      <c r="B64" s="139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08"/>
      <c r="W64" s="108"/>
      <c r="X64" s="108"/>
      <c r="Y64" s="108"/>
      <c r="Z64" s="108"/>
      <c r="AA64" s="108"/>
      <c r="AB64" s="138"/>
      <c r="AC64" s="3"/>
      <c r="AD64" s="3"/>
    </row>
    <row r="65" spans="1:30" x14ac:dyDescent="0.25">
      <c r="A65" s="1"/>
      <c r="B65" s="139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08"/>
      <c r="W65" s="108"/>
      <c r="X65" s="108"/>
      <c r="Y65" s="108"/>
      <c r="Z65" s="108"/>
      <c r="AA65" s="108"/>
      <c r="AB65" s="138"/>
      <c r="AC65" s="3"/>
      <c r="AD65" s="3"/>
    </row>
    <row r="66" spans="1:30" x14ac:dyDescent="0.25">
      <c r="A66" s="1"/>
      <c r="B66" s="139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08"/>
      <c r="W66" s="108"/>
      <c r="X66" s="108"/>
      <c r="Y66" s="108"/>
      <c r="Z66" s="108"/>
      <c r="AA66" s="108"/>
      <c r="AB66" s="138"/>
      <c r="AC66" s="3"/>
      <c r="AD66" s="3"/>
    </row>
    <row r="67" spans="1:30" x14ac:dyDescent="0.25">
      <c r="A67" s="1"/>
      <c r="B67" s="139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08"/>
      <c r="W67" s="108"/>
      <c r="X67" s="108"/>
      <c r="Y67" s="108"/>
      <c r="Z67" s="108"/>
      <c r="AA67" s="108"/>
      <c r="AB67" s="138"/>
      <c r="AC67" s="3"/>
      <c r="AD67" s="3"/>
    </row>
    <row r="68" spans="1:30" x14ac:dyDescent="0.25">
      <c r="A68" s="1"/>
      <c r="B68" s="139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08"/>
      <c r="W68" s="108"/>
      <c r="X68" s="108"/>
      <c r="Y68" s="108"/>
      <c r="Z68" s="108"/>
      <c r="AA68" s="108"/>
      <c r="AB68" s="138"/>
      <c r="AC68" s="3"/>
      <c r="AD68" s="3"/>
    </row>
    <row r="69" spans="1:30" x14ac:dyDescent="0.25">
      <c r="A69" s="1"/>
      <c r="B69" s="139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08"/>
      <c r="W69" s="108"/>
      <c r="X69" s="108"/>
      <c r="Y69" s="108"/>
      <c r="Z69" s="108"/>
      <c r="AA69" s="108"/>
      <c r="AB69" s="138"/>
      <c r="AC69" s="3"/>
      <c r="AD69" s="3"/>
    </row>
    <row r="70" spans="1:30" x14ac:dyDescent="0.25">
      <c r="A70" s="1"/>
      <c r="B70" s="139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08"/>
      <c r="W70" s="108"/>
      <c r="X70" s="108"/>
      <c r="Y70" s="108"/>
      <c r="Z70" s="108"/>
      <c r="AA70" s="108"/>
      <c r="AB70" s="138"/>
      <c r="AC70" s="3"/>
      <c r="AD70" s="3"/>
    </row>
    <row r="71" spans="1:30" x14ac:dyDescent="0.25">
      <c r="A71" s="1"/>
      <c r="B71" s="139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08"/>
      <c r="W71" s="108"/>
      <c r="X71" s="108"/>
      <c r="Y71" s="108"/>
      <c r="Z71" s="108"/>
      <c r="AA71" s="108"/>
      <c r="AB71" s="138"/>
      <c r="AC71" s="3"/>
      <c r="AD71" s="3"/>
    </row>
    <row r="72" spans="1:30" x14ac:dyDescent="0.25">
      <c r="A72" s="1"/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08"/>
      <c r="W72" s="108"/>
      <c r="X72" s="108"/>
      <c r="Y72" s="108"/>
      <c r="Z72" s="108"/>
      <c r="AA72" s="108"/>
      <c r="AB72" s="138"/>
      <c r="AC72" s="3"/>
      <c r="AD72" s="3"/>
    </row>
    <row r="73" spans="1:30" x14ac:dyDescent="0.25">
      <c r="A73" s="1"/>
      <c r="B73" s="139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08"/>
      <c r="W73" s="108"/>
      <c r="X73" s="108"/>
      <c r="Y73" s="108"/>
      <c r="Z73" s="108"/>
      <c r="AA73" s="108"/>
      <c r="AB73" s="138"/>
      <c r="AC73" s="3"/>
      <c r="AD73" s="3"/>
    </row>
    <row r="74" spans="1:30" x14ac:dyDescent="0.25">
      <c r="A74" s="1"/>
      <c r="B74" s="139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08"/>
      <c r="W74" s="108"/>
      <c r="X74" s="108"/>
      <c r="Y74" s="108"/>
      <c r="Z74" s="108"/>
      <c r="AA74" s="108"/>
      <c r="AB74" s="138"/>
      <c r="AC74" s="3"/>
      <c r="AD74" s="3"/>
    </row>
    <row r="75" spans="1:30" x14ac:dyDescent="0.25">
      <c r="A75" s="1"/>
      <c r="B75" s="139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08"/>
      <c r="W75" s="108"/>
      <c r="X75" s="108"/>
      <c r="Y75" s="108"/>
      <c r="Z75" s="108"/>
      <c r="AA75" s="108"/>
      <c r="AB75" s="138"/>
      <c r="AC75" s="3"/>
      <c r="AD75" s="3"/>
    </row>
    <row r="76" spans="1:30" x14ac:dyDescent="0.25">
      <c r="A76" s="1"/>
      <c r="B76" s="139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08"/>
      <c r="W76" s="108"/>
      <c r="X76" s="108"/>
      <c r="Y76" s="108"/>
      <c r="Z76" s="108"/>
      <c r="AA76" s="108"/>
      <c r="AB76" s="138"/>
      <c r="AC76" s="3"/>
      <c r="AD76" s="3"/>
    </row>
    <row r="77" spans="1:30" x14ac:dyDescent="0.25">
      <c r="A77" s="1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08"/>
      <c r="W77" s="108"/>
      <c r="X77" s="108"/>
      <c r="Y77" s="108"/>
      <c r="Z77" s="108"/>
      <c r="AA77" s="108"/>
      <c r="AB77" s="138"/>
      <c r="AC77" s="3"/>
      <c r="AD77" s="3"/>
    </row>
    <row r="78" spans="1:30" x14ac:dyDescent="0.25">
      <c r="A78" s="1"/>
      <c r="B78" s="139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08"/>
      <c r="W78" s="108"/>
      <c r="X78" s="108"/>
      <c r="Y78" s="108"/>
      <c r="Z78" s="108"/>
      <c r="AA78" s="108"/>
      <c r="AB78" s="138"/>
      <c r="AC78" s="3"/>
      <c r="AD78" s="3"/>
    </row>
    <row r="79" spans="1:30" x14ac:dyDescent="0.25">
      <c r="A79" s="1"/>
      <c r="B79" s="139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08"/>
      <c r="W79" s="108"/>
      <c r="X79" s="108"/>
      <c r="Y79" s="108"/>
      <c r="Z79" s="108"/>
      <c r="AA79" s="108"/>
      <c r="AB79" s="138"/>
      <c r="AC79" s="3"/>
      <c r="AD79" s="3"/>
    </row>
    <row r="80" spans="1:30" x14ac:dyDescent="0.25">
      <c r="A80" s="1"/>
      <c r="B80" s="139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08"/>
      <c r="W80" s="108"/>
      <c r="X80" s="108"/>
      <c r="Y80" s="108"/>
      <c r="Z80" s="108"/>
      <c r="AA80" s="108"/>
      <c r="AB80" s="138"/>
      <c r="AC80" s="3"/>
      <c r="AD80" s="3"/>
    </row>
    <row r="81" spans="1:30" x14ac:dyDescent="0.25">
      <c r="A81" s="1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08"/>
      <c r="W81" s="108"/>
      <c r="X81" s="108"/>
      <c r="Y81" s="108"/>
      <c r="Z81" s="108"/>
      <c r="AA81" s="108"/>
      <c r="AB81" s="138"/>
      <c r="AC81" s="3"/>
      <c r="AD81" s="3"/>
    </row>
    <row r="82" spans="1:30" x14ac:dyDescent="0.25">
      <c r="A82" s="1"/>
      <c r="B82" s="186"/>
      <c r="C82" s="187"/>
      <c r="D82" s="187"/>
      <c r="E82" s="187"/>
      <c r="F82" s="187"/>
      <c r="G82" s="187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  <c r="T82" s="187"/>
      <c r="U82" s="187"/>
      <c r="V82" s="108"/>
      <c r="W82" s="108"/>
      <c r="X82" s="108"/>
      <c r="Y82" s="108"/>
      <c r="Z82" s="108"/>
      <c r="AA82" s="108"/>
      <c r="AB82" s="138"/>
      <c r="AC82" s="3"/>
      <c r="AD82" s="3"/>
    </row>
    <row r="83" spans="1:30" x14ac:dyDescent="0.25">
      <c r="A83" s="1"/>
      <c r="B83" s="141"/>
      <c r="C83" s="142"/>
      <c r="D83" s="142"/>
      <c r="E83" s="142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08"/>
      <c r="W83" s="108"/>
      <c r="X83" s="108"/>
      <c r="Y83" s="108"/>
      <c r="Z83" s="108"/>
      <c r="AA83" s="108"/>
      <c r="AB83" s="138"/>
      <c r="AC83" s="3"/>
      <c r="AD83" s="3"/>
    </row>
    <row r="84" spans="1:30" x14ac:dyDescent="0.25">
      <c r="A84" s="1"/>
      <c r="B84" s="143"/>
      <c r="C84" s="144"/>
      <c r="D84" s="145"/>
      <c r="E84" s="145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08"/>
      <c r="W84" s="108"/>
      <c r="X84" s="108"/>
      <c r="Y84" s="108"/>
      <c r="Z84" s="108"/>
      <c r="AA84" s="108"/>
      <c r="AB84" s="138"/>
      <c r="AC84" s="3"/>
      <c r="AD84" s="3"/>
    </row>
    <row r="85" spans="1:30" x14ac:dyDescent="0.25">
      <c r="A85" s="1"/>
      <c r="B85" s="141"/>
      <c r="C85" s="146"/>
      <c r="D85" s="145"/>
      <c r="E85" s="145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08"/>
      <c r="W85" s="108"/>
      <c r="X85" s="108"/>
      <c r="Y85" s="108"/>
      <c r="Z85" s="108"/>
      <c r="AA85" s="108"/>
      <c r="AB85" s="138"/>
      <c r="AC85" s="3"/>
      <c r="AD85" s="3"/>
    </row>
    <row r="86" spans="1:30" x14ac:dyDescent="0.25">
      <c r="A86" s="1"/>
      <c r="B86" s="141"/>
      <c r="C86" s="146"/>
      <c r="D86" s="145"/>
      <c r="E86" s="145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08"/>
      <c r="W86" s="108"/>
      <c r="X86" s="108"/>
      <c r="Y86" s="108"/>
      <c r="Z86" s="108"/>
      <c r="AA86" s="108"/>
      <c r="AB86" s="138"/>
      <c r="AC86" s="3"/>
      <c r="AD86" s="3"/>
    </row>
    <row r="87" spans="1:30" x14ac:dyDescent="0.25">
      <c r="A87" s="1"/>
      <c r="B87" s="147"/>
      <c r="C87" s="148"/>
      <c r="D87" s="149"/>
      <c r="E87" s="149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1"/>
      <c r="W87" s="151"/>
      <c r="X87" s="151"/>
      <c r="Y87" s="151"/>
      <c r="Z87" s="151"/>
      <c r="AA87" s="151"/>
      <c r="AB87" s="152"/>
      <c r="AC87" s="3"/>
      <c r="AD87" s="3"/>
    </row>
    <row r="88" spans="1:30" x14ac:dyDescent="0.25">
      <c r="A88" s="102"/>
      <c r="B88" s="153"/>
      <c r="C88" s="154"/>
      <c r="D88" s="153"/>
      <c r="E88" s="153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102"/>
      <c r="B89" s="153"/>
      <c r="C89" s="154"/>
      <c r="D89" s="153"/>
      <c r="E89" s="153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1"/>
      <c r="B90" s="156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1"/>
      <c r="B91" s="156" t="s">
        <v>105</v>
      </c>
      <c r="C91" s="157">
        <v>43696</v>
      </c>
      <c r="D91" s="156" t="s">
        <v>106</v>
      </c>
      <c r="E91" s="187" t="s">
        <v>126</v>
      </c>
      <c r="F91" s="187"/>
      <c r="G91" s="187"/>
      <c r="H91" s="156"/>
      <c r="I91" s="156" t="s">
        <v>108</v>
      </c>
      <c r="J91" s="188" t="s">
        <v>127</v>
      </c>
      <c r="K91" s="188"/>
      <c r="L91" s="188"/>
      <c r="M91" s="188"/>
      <c r="N91" s="156"/>
      <c r="O91" s="156"/>
      <c r="P91" s="156"/>
      <c r="Q91" s="156"/>
      <c r="R91" s="156"/>
      <c r="S91" s="156"/>
      <c r="T91" s="156"/>
      <c r="U91" s="156"/>
      <c r="V91" s="3"/>
      <c r="W91" s="3"/>
      <c r="X91" s="3"/>
      <c r="Y91" s="3"/>
      <c r="Z91" s="3"/>
      <c r="AA91" s="3"/>
      <c r="AB91" s="3"/>
      <c r="AC91" s="3"/>
      <c r="AD91" s="3"/>
    </row>
    <row r="92" spans="1:30" ht="7.5" customHeight="1" x14ac:dyDescent="0.25">
      <c r="A92" s="1"/>
      <c r="B92" s="156"/>
      <c r="C92" s="156"/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1"/>
      <c r="B93" s="156"/>
      <c r="C93" s="156"/>
      <c r="D93" s="156" t="s">
        <v>109</v>
      </c>
      <c r="E93" s="158"/>
      <c r="F93" s="158"/>
      <c r="G93" s="158"/>
      <c r="H93" s="156"/>
      <c r="I93" s="156" t="s">
        <v>109</v>
      </c>
      <c r="J93" s="159"/>
      <c r="K93" s="159"/>
      <c r="L93" s="159"/>
      <c r="M93" s="159"/>
      <c r="N93" s="156"/>
      <c r="O93" s="156"/>
      <c r="P93" s="156"/>
      <c r="Q93" s="156"/>
      <c r="R93" s="156"/>
      <c r="S93" s="156"/>
      <c r="T93" s="156"/>
      <c r="U93" s="156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1"/>
      <c r="B94" s="156"/>
      <c r="C94" s="156"/>
      <c r="D94" s="156"/>
      <c r="E94" s="158"/>
      <c r="F94" s="158"/>
      <c r="G94" s="158"/>
      <c r="H94" s="156"/>
      <c r="I94" s="156"/>
      <c r="J94" s="159"/>
      <c r="K94" s="159"/>
      <c r="L94" s="159"/>
      <c r="M94" s="159"/>
      <c r="N94" s="156"/>
      <c r="O94" s="156"/>
      <c r="P94" s="156"/>
      <c r="Q94" s="156"/>
      <c r="R94" s="156"/>
      <c r="S94" s="156"/>
      <c r="T94" s="156"/>
      <c r="U94" s="156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1"/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1"/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3"/>
      <c r="W96" s="3"/>
      <c r="X96" s="3"/>
      <c r="Y96" s="3"/>
      <c r="Z96" s="3"/>
      <c r="AA96" s="3"/>
      <c r="AB96" s="3"/>
      <c r="AC96" s="3"/>
      <c r="AD96" s="3"/>
    </row>
    <row r="97" spans="29:30" hidden="1" x14ac:dyDescent="0.25">
      <c r="AC97" s="4"/>
      <c r="AD97" s="4"/>
    </row>
    <row r="98" spans="29:30" hidden="1" x14ac:dyDescent="0.25"/>
    <row r="99" spans="29:30" hidden="1" x14ac:dyDescent="0.25"/>
    <row r="100" spans="29:30" hidden="1" x14ac:dyDescent="0.25"/>
    <row r="101" spans="29:30" hidden="1" x14ac:dyDescent="0.25"/>
    <row r="102" spans="29:30" hidden="1" x14ac:dyDescent="0.25"/>
    <row r="103" spans="29:30" hidden="1" x14ac:dyDescent="0.25"/>
    <row r="104" spans="29:30" hidden="1" x14ac:dyDescent="0.25"/>
    <row r="105" spans="29:30" hidden="1" x14ac:dyDescent="0.25"/>
    <row r="106" spans="29:30" hidden="1" x14ac:dyDescent="0.25"/>
    <row r="107" spans="29:30" hidden="1" x14ac:dyDescent="0.25"/>
    <row r="108" spans="29:30" hidden="1" x14ac:dyDescent="0.25"/>
    <row r="109" spans="29:30" hidden="1" x14ac:dyDescent="0.25"/>
    <row r="110" spans="29:30" hidden="1" x14ac:dyDescent="0.25"/>
    <row r="111" spans="29:30" hidden="1" x14ac:dyDescent="0.25"/>
    <row r="112" spans="29:30" hidden="1" x14ac:dyDescent="0.25"/>
    <row r="113" ht="1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5" hidden="1" customHeight="1" x14ac:dyDescent="0.25"/>
    <row r="128" ht="1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</sheetData>
  <mergeCells count="65"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AA13:AA14"/>
    <mergeCell ref="AB25:AB27"/>
    <mergeCell ref="J26:L26"/>
    <mergeCell ref="M26:M27"/>
    <mergeCell ref="N26:N27"/>
    <mergeCell ref="O26:O27"/>
    <mergeCell ref="Z26:Z27"/>
    <mergeCell ref="AA26:AA27"/>
    <mergeCell ref="V26:X26"/>
    <mergeCell ref="Y26:Y27"/>
    <mergeCell ref="D25:I25"/>
    <mergeCell ref="J25:O25"/>
    <mergeCell ref="P25:U25"/>
    <mergeCell ref="V25:AA25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B61:U61"/>
    <mergeCell ref="P26:R26"/>
    <mergeCell ref="S26:S27"/>
    <mergeCell ref="T26:T27"/>
    <mergeCell ref="U26:U27"/>
    <mergeCell ref="B26:B27"/>
    <mergeCell ref="C26:C27"/>
    <mergeCell ref="D26:F26"/>
    <mergeCell ref="G26:G27"/>
    <mergeCell ref="H26:H27"/>
    <mergeCell ref="I26:I27"/>
    <mergeCell ref="C43:C44"/>
    <mergeCell ref="C46:C47"/>
    <mergeCell ref="D59:U59"/>
    <mergeCell ref="B62:U62"/>
    <mergeCell ref="B63:U63"/>
    <mergeCell ref="B82:U82"/>
    <mergeCell ref="E91:G91"/>
    <mergeCell ref="J91:M91"/>
  </mergeCells>
  <conditionalFormatting sqref="AB15:AB25">
    <cfRule type="cellIs" dxfId="11" priority="3" operator="equal">
      <formula>0</formula>
    </cfRule>
    <cfRule type="containsErrors" dxfId="10" priority="4">
      <formula>ISERROR(AB15)</formula>
    </cfRule>
  </conditionalFormatting>
  <conditionalFormatting sqref="AB28:AB41">
    <cfRule type="cellIs" dxfId="9" priority="1" operator="equal">
      <formula>0</formula>
    </cfRule>
    <cfRule type="containsErrors" dxfId="8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8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276"/>
  <sheetViews>
    <sheetView showGridLines="0" zoomScale="115" zoomScaleNormal="115" zoomScaleSheetLayoutView="80" workbookViewId="0">
      <selection activeCell="G15" sqref="G15"/>
    </sheetView>
  </sheetViews>
  <sheetFormatPr defaultColWidth="9.140625" defaultRowHeight="15" zeroHeight="1" x14ac:dyDescent="0.25"/>
  <cols>
    <col min="1" max="1" width="4.5703125" customWidth="1"/>
    <col min="2" max="2" width="9.140625" customWidth="1"/>
    <col min="3" max="3" width="56.5703125" bestFit="1" customWidth="1"/>
    <col min="4" max="4" width="16.5703125" customWidth="1"/>
    <col min="5" max="5" width="17.85546875" customWidth="1"/>
    <col min="6" max="6" width="16.85546875" customWidth="1"/>
    <col min="7" max="7" width="21.28515625" customWidth="1"/>
    <col min="8" max="8" width="14.140625" customWidth="1"/>
    <col min="9" max="9" width="17.7109375" customWidth="1"/>
    <col min="10" max="10" width="16.140625" customWidth="1"/>
    <col min="11" max="11" width="17.85546875" customWidth="1"/>
    <col min="12" max="12" width="13.7109375" customWidth="1"/>
    <col min="13" max="13" width="23.42578125" style="160" customWidth="1"/>
    <col min="14" max="14" width="13.28515625" customWidth="1"/>
    <col min="15" max="15" width="16.7109375" customWidth="1"/>
    <col min="16" max="18" width="16.42578125" customWidth="1"/>
    <col min="19" max="19" width="21.140625" customWidth="1"/>
    <col min="20" max="20" width="16.42578125" customWidth="1"/>
    <col min="21" max="21" width="16.7109375" customWidth="1"/>
    <col min="22" max="22" width="16.140625" bestFit="1" customWidth="1"/>
    <col min="23" max="23" width="14.140625" bestFit="1" customWidth="1"/>
    <col min="24" max="24" width="16.28515625" bestFit="1" customWidth="1"/>
    <col min="25" max="25" width="21.85546875" customWidth="1"/>
    <col min="26" max="26" width="15.28515625" bestFit="1" customWidth="1"/>
    <col min="27" max="27" width="16.7109375" bestFit="1" customWidth="1"/>
    <col min="28" max="28" width="17.7109375" customWidth="1"/>
    <col min="29" max="29" width="5.85546875" customWidth="1"/>
    <col min="30" max="30" width="9.140625" customWidth="1"/>
    <col min="31" max="16384" width="9.140625" style="4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6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1"/>
      <c r="B2" s="5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1"/>
      <c r="B4" s="1" t="s">
        <v>1</v>
      </c>
      <c r="C4" s="1"/>
      <c r="D4" s="232" t="s">
        <v>128</v>
      </c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3"/>
      <c r="W4" s="3"/>
      <c r="X4" s="3"/>
      <c r="Y4" s="167"/>
      <c r="Z4" s="3"/>
      <c r="AA4" s="3"/>
      <c r="AB4" s="3"/>
      <c r="AC4" s="3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1"/>
      <c r="B6" s="1" t="s">
        <v>3</v>
      </c>
      <c r="C6" s="1"/>
      <c r="D6" s="161">
        <v>379719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1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1"/>
      <c r="B7" s="1"/>
      <c r="C7" s="1"/>
      <c r="D7" s="7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1"/>
      <c r="W7" s="3"/>
      <c r="X7" s="3"/>
      <c r="Y7" s="3"/>
      <c r="Z7" s="3"/>
      <c r="AA7" s="3"/>
      <c r="AB7" s="3"/>
      <c r="AC7" s="3"/>
    </row>
    <row r="8" spans="1:30" x14ac:dyDescent="0.25">
      <c r="A8" s="1"/>
      <c r="B8" s="1" t="s">
        <v>4</v>
      </c>
      <c r="C8" s="1"/>
      <c r="D8" s="233" t="s">
        <v>129</v>
      </c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1"/>
      <c r="B10" s="234" t="s">
        <v>6</v>
      </c>
      <c r="C10" s="199" t="s">
        <v>7</v>
      </c>
      <c r="D10" s="220" t="s">
        <v>8</v>
      </c>
      <c r="E10" s="221"/>
      <c r="F10" s="221"/>
      <c r="G10" s="221"/>
      <c r="H10" s="221"/>
      <c r="I10" s="222"/>
      <c r="J10" s="220" t="s">
        <v>9</v>
      </c>
      <c r="K10" s="221"/>
      <c r="L10" s="221"/>
      <c r="M10" s="221"/>
      <c r="N10" s="221"/>
      <c r="O10" s="222"/>
      <c r="P10" s="220" t="s">
        <v>10</v>
      </c>
      <c r="Q10" s="221"/>
      <c r="R10" s="221"/>
      <c r="S10" s="221"/>
      <c r="T10" s="221"/>
      <c r="U10" s="222"/>
      <c r="V10" s="220" t="s">
        <v>11</v>
      </c>
      <c r="W10" s="221"/>
      <c r="X10" s="221"/>
      <c r="Y10" s="221"/>
      <c r="Z10" s="221"/>
      <c r="AA10" s="222"/>
      <c r="AB10" s="223" t="s">
        <v>12</v>
      </c>
      <c r="AC10" s="3"/>
      <c r="AD10" s="3"/>
    </row>
    <row r="11" spans="1:30" ht="30.75" customHeight="1" thickBot="1" x14ac:dyDescent="0.3">
      <c r="A11" s="1"/>
      <c r="B11" s="235"/>
      <c r="C11" s="200"/>
      <c r="D11" s="226" t="s">
        <v>13</v>
      </c>
      <c r="E11" s="227"/>
      <c r="F11" s="227"/>
      <c r="G11" s="228"/>
      <c r="H11" s="8" t="s">
        <v>14</v>
      </c>
      <c r="I11" s="8" t="s">
        <v>15</v>
      </c>
      <c r="J11" s="226" t="s">
        <v>13</v>
      </c>
      <c r="K11" s="227"/>
      <c r="L11" s="227"/>
      <c r="M11" s="228"/>
      <c r="N11" s="8" t="s">
        <v>14</v>
      </c>
      <c r="O11" s="8" t="s">
        <v>15</v>
      </c>
      <c r="P11" s="226" t="s">
        <v>13</v>
      </c>
      <c r="Q11" s="227"/>
      <c r="R11" s="227"/>
      <c r="S11" s="228"/>
      <c r="T11" s="8" t="s">
        <v>14</v>
      </c>
      <c r="U11" s="8" t="s">
        <v>15</v>
      </c>
      <c r="V11" s="226" t="s">
        <v>13</v>
      </c>
      <c r="W11" s="227"/>
      <c r="X11" s="227"/>
      <c r="Y11" s="228"/>
      <c r="Z11" s="8" t="s">
        <v>14</v>
      </c>
      <c r="AA11" s="8" t="s">
        <v>15</v>
      </c>
      <c r="AB11" s="224"/>
      <c r="AC11" s="3"/>
      <c r="AD11" s="3"/>
    </row>
    <row r="12" spans="1:30" ht="15.75" customHeight="1" thickBot="1" x14ac:dyDescent="0.3">
      <c r="A12" s="1"/>
      <c r="B12" s="235"/>
      <c r="C12" s="237"/>
      <c r="D12" s="229" t="s">
        <v>16</v>
      </c>
      <c r="E12" s="230"/>
      <c r="F12" s="230"/>
      <c r="G12" s="230"/>
      <c r="H12" s="230"/>
      <c r="I12" s="231"/>
      <c r="J12" s="229" t="s">
        <v>16</v>
      </c>
      <c r="K12" s="230"/>
      <c r="L12" s="230"/>
      <c r="M12" s="230"/>
      <c r="N12" s="230"/>
      <c r="O12" s="231"/>
      <c r="P12" s="229" t="s">
        <v>16</v>
      </c>
      <c r="Q12" s="230"/>
      <c r="R12" s="230"/>
      <c r="S12" s="230"/>
      <c r="T12" s="230"/>
      <c r="U12" s="231"/>
      <c r="V12" s="229" t="s">
        <v>16</v>
      </c>
      <c r="W12" s="230"/>
      <c r="X12" s="230"/>
      <c r="Y12" s="230"/>
      <c r="Z12" s="230"/>
      <c r="AA12" s="231"/>
      <c r="AB12" s="224"/>
      <c r="AC12" s="3"/>
      <c r="AD12" s="3"/>
    </row>
    <row r="13" spans="1:30" ht="15.75" customHeight="1" thickBot="1" x14ac:dyDescent="0.3">
      <c r="A13" s="1"/>
      <c r="B13" s="236"/>
      <c r="C13" s="238"/>
      <c r="D13" s="215" t="s">
        <v>17</v>
      </c>
      <c r="E13" s="216"/>
      <c r="F13" s="216"/>
      <c r="G13" s="209" t="s">
        <v>18</v>
      </c>
      <c r="H13" s="211" t="s">
        <v>19</v>
      </c>
      <c r="I13" s="213" t="s">
        <v>16</v>
      </c>
      <c r="J13" s="215" t="s">
        <v>17</v>
      </c>
      <c r="K13" s="216"/>
      <c r="L13" s="216"/>
      <c r="M13" s="209" t="s">
        <v>18</v>
      </c>
      <c r="N13" s="211" t="s">
        <v>19</v>
      </c>
      <c r="O13" s="213" t="s">
        <v>16</v>
      </c>
      <c r="P13" s="215" t="s">
        <v>17</v>
      </c>
      <c r="Q13" s="216"/>
      <c r="R13" s="216"/>
      <c r="S13" s="209" t="s">
        <v>18</v>
      </c>
      <c r="T13" s="211" t="s">
        <v>19</v>
      </c>
      <c r="U13" s="213" t="s">
        <v>16</v>
      </c>
      <c r="V13" s="215" t="s">
        <v>17</v>
      </c>
      <c r="W13" s="216"/>
      <c r="X13" s="216"/>
      <c r="Y13" s="209" t="s">
        <v>18</v>
      </c>
      <c r="Z13" s="211" t="s">
        <v>19</v>
      </c>
      <c r="AA13" s="213" t="s">
        <v>16</v>
      </c>
      <c r="AB13" s="224"/>
      <c r="AC13" s="3"/>
      <c r="AD13" s="3"/>
    </row>
    <row r="14" spans="1:30" ht="15.75" thickBot="1" x14ac:dyDescent="0.3">
      <c r="A14" s="1"/>
      <c r="B14" s="9"/>
      <c r="C14" s="10"/>
      <c r="D14" s="11" t="s">
        <v>20</v>
      </c>
      <c r="E14" s="12" t="s">
        <v>21</v>
      </c>
      <c r="F14" s="12" t="s">
        <v>22</v>
      </c>
      <c r="G14" s="210"/>
      <c r="H14" s="212"/>
      <c r="I14" s="214"/>
      <c r="J14" s="11" t="s">
        <v>20</v>
      </c>
      <c r="K14" s="12" t="s">
        <v>21</v>
      </c>
      <c r="L14" s="12" t="s">
        <v>22</v>
      </c>
      <c r="M14" s="210"/>
      <c r="N14" s="212"/>
      <c r="O14" s="214"/>
      <c r="P14" s="11" t="s">
        <v>20</v>
      </c>
      <c r="Q14" s="12" t="s">
        <v>21</v>
      </c>
      <c r="R14" s="12" t="s">
        <v>22</v>
      </c>
      <c r="S14" s="210"/>
      <c r="T14" s="212"/>
      <c r="U14" s="214"/>
      <c r="V14" s="11" t="s">
        <v>20</v>
      </c>
      <c r="W14" s="12" t="s">
        <v>21</v>
      </c>
      <c r="X14" s="12" t="s">
        <v>22</v>
      </c>
      <c r="Y14" s="210"/>
      <c r="Z14" s="212"/>
      <c r="AA14" s="214"/>
      <c r="AB14" s="225"/>
      <c r="AC14" s="3"/>
      <c r="AD14" s="3"/>
    </row>
    <row r="15" spans="1:30" x14ac:dyDescent="0.25">
      <c r="A15" s="1"/>
      <c r="B15" s="13" t="s">
        <v>23</v>
      </c>
      <c r="C15" s="14" t="s">
        <v>24</v>
      </c>
      <c r="D15" s="16"/>
      <c r="E15" s="15"/>
      <c r="F15" s="20">
        <f>27871575.27-H15</f>
        <v>24771023.300000001</v>
      </c>
      <c r="G15" s="17">
        <f>SUM(D15:F15)</f>
        <v>24771023.300000001</v>
      </c>
      <c r="H15" s="18">
        <f>30576.8+4132+950748.4+627373.09+1176723.04+282354.88+28643.76</f>
        <v>3100551.9699999997</v>
      </c>
      <c r="I15" s="19">
        <f>G15+H15</f>
        <v>27871575.27</v>
      </c>
      <c r="J15" s="16"/>
      <c r="K15" s="15"/>
      <c r="L15" s="20">
        <v>23500000</v>
      </c>
      <c r="M15" s="17">
        <f t="shared" ref="M15:M23" si="0">SUM(J15:L15)</f>
        <v>23500000</v>
      </c>
      <c r="N15" s="18">
        <v>3300000</v>
      </c>
      <c r="O15" s="19">
        <f>M15+N15</f>
        <v>26800000</v>
      </c>
      <c r="P15" s="16"/>
      <c r="Q15" s="15"/>
      <c r="R15" s="20">
        <v>9762253.8100000005</v>
      </c>
      <c r="S15" s="17">
        <f>SUM(P15:R15)</f>
        <v>9762253.8100000005</v>
      </c>
      <c r="T15" s="18">
        <v>1935969.44</v>
      </c>
      <c r="U15" s="19">
        <f>S15+T15</f>
        <v>11698223.25</v>
      </c>
      <c r="V15" s="16"/>
      <c r="W15" s="15"/>
      <c r="X15" s="20">
        <v>24800000</v>
      </c>
      <c r="Y15" s="17">
        <f>SUM(V15:X15)</f>
        <v>24800000</v>
      </c>
      <c r="Z15" s="18">
        <v>3900000</v>
      </c>
      <c r="AA15" s="19">
        <f>Y15+Z15</f>
        <v>28700000</v>
      </c>
      <c r="AB15" s="21">
        <f>(AA15/O15)</f>
        <v>1.0708955223880596</v>
      </c>
      <c r="AC15" s="3"/>
      <c r="AD15" s="3"/>
    </row>
    <row r="16" spans="1:30" x14ac:dyDescent="0.25">
      <c r="A16" s="1"/>
      <c r="B16" s="22" t="s">
        <v>25</v>
      </c>
      <c r="C16" s="23" t="s">
        <v>26</v>
      </c>
      <c r="D16" s="24">
        <v>36000000</v>
      </c>
      <c r="E16" s="25"/>
      <c r="F16" s="25"/>
      <c r="G16" s="26">
        <f t="shared" ref="G16:G23" si="1">SUM(D16:F16)</f>
        <v>36000000</v>
      </c>
      <c r="H16" s="27"/>
      <c r="I16" s="19">
        <f t="shared" ref="I16:I23" si="2">G16+H16</f>
        <v>36000000</v>
      </c>
      <c r="J16" s="24">
        <v>37700000</v>
      </c>
      <c r="K16" s="25"/>
      <c r="L16" s="25"/>
      <c r="M16" s="26">
        <f t="shared" si="0"/>
        <v>37700000</v>
      </c>
      <c r="N16" s="27"/>
      <c r="O16" s="19">
        <f t="shared" ref="O16:O20" si="3">M16+N16</f>
        <v>37700000</v>
      </c>
      <c r="P16" s="24">
        <v>18850000</v>
      </c>
      <c r="Q16" s="25"/>
      <c r="R16" s="25"/>
      <c r="S16" s="26">
        <f t="shared" ref="S16:S23" si="4">SUM(P16:R16)</f>
        <v>18850000</v>
      </c>
      <c r="T16" s="27"/>
      <c r="U16" s="19">
        <f t="shared" ref="U16:U20" si="5">S16+T16</f>
        <v>18850000</v>
      </c>
      <c r="V16" s="24">
        <f>42000000</f>
        <v>42000000</v>
      </c>
      <c r="W16" s="25"/>
      <c r="X16" s="25"/>
      <c r="Y16" s="26">
        <f t="shared" ref="Y16:Y23" si="6">SUM(V16:X16)</f>
        <v>42000000</v>
      </c>
      <c r="Z16" s="27"/>
      <c r="AA16" s="19">
        <f t="shared" ref="AA16:AA20" si="7">Y16+Z16</f>
        <v>42000000</v>
      </c>
      <c r="AB16" s="21">
        <f t="shared" ref="AB16:AB24" si="8">(AA16/O16)</f>
        <v>1.1140583554376657</v>
      </c>
      <c r="AC16" s="3"/>
      <c r="AD16" s="3"/>
    </row>
    <row r="17" spans="1:30" x14ac:dyDescent="0.25">
      <c r="A17" s="1"/>
      <c r="B17" s="22" t="s">
        <v>27</v>
      </c>
      <c r="C17" s="28" t="s">
        <v>28</v>
      </c>
      <c r="D17" s="29"/>
      <c r="E17" s="30"/>
      <c r="F17" s="30"/>
      <c r="G17" s="26">
        <f t="shared" si="1"/>
        <v>0</v>
      </c>
      <c r="H17" s="31"/>
      <c r="I17" s="19">
        <f t="shared" si="2"/>
        <v>0</v>
      </c>
      <c r="J17" s="29"/>
      <c r="K17" s="30"/>
      <c r="L17" s="30"/>
      <c r="M17" s="26">
        <f t="shared" si="0"/>
        <v>0</v>
      </c>
      <c r="N17" s="31"/>
      <c r="O17" s="19">
        <f t="shared" si="3"/>
        <v>0</v>
      </c>
      <c r="P17" s="29"/>
      <c r="Q17" s="30"/>
      <c r="R17" s="30"/>
      <c r="S17" s="26">
        <f t="shared" si="4"/>
        <v>0</v>
      </c>
      <c r="T17" s="31"/>
      <c r="U17" s="19">
        <f t="shared" si="5"/>
        <v>0</v>
      </c>
      <c r="V17" s="29"/>
      <c r="W17" s="30"/>
      <c r="X17" s="30"/>
      <c r="Y17" s="26">
        <f t="shared" si="6"/>
        <v>0</v>
      </c>
      <c r="Z17" s="31"/>
      <c r="AA17" s="19">
        <f t="shared" si="7"/>
        <v>0</v>
      </c>
      <c r="AB17" s="21" t="e">
        <f t="shared" si="8"/>
        <v>#DIV/0!</v>
      </c>
      <c r="AC17" s="3"/>
      <c r="AD17" s="3"/>
    </row>
    <row r="18" spans="1:30" x14ac:dyDescent="0.25">
      <c r="A18" s="1"/>
      <c r="B18" s="22" t="s">
        <v>29</v>
      </c>
      <c r="C18" s="32" t="s">
        <v>30</v>
      </c>
      <c r="D18" s="33"/>
      <c r="E18" s="34">
        <f>84000+701746+513058+73922</f>
        <v>1372726</v>
      </c>
      <c r="F18" s="30"/>
      <c r="G18" s="26">
        <f t="shared" si="1"/>
        <v>1372726</v>
      </c>
      <c r="H18" s="18"/>
      <c r="I18" s="19">
        <f t="shared" si="2"/>
        <v>1372726</v>
      </c>
      <c r="J18" s="33"/>
      <c r="K18" s="34">
        <v>1130000</v>
      </c>
      <c r="L18" s="30"/>
      <c r="M18" s="26">
        <f t="shared" si="0"/>
        <v>1130000</v>
      </c>
      <c r="N18" s="18"/>
      <c r="O18" s="19">
        <f t="shared" si="3"/>
        <v>1130000</v>
      </c>
      <c r="P18" s="33"/>
      <c r="Q18" s="34">
        <v>342379.39</v>
      </c>
      <c r="R18" s="30"/>
      <c r="S18" s="26">
        <f t="shared" si="4"/>
        <v>342379.39</v>
      </c>
      <c r="T18" s="18"/>
      <c r="U18" s="19">
        <f t="shared" si="5"/>
        <v>342379.39</v>
      </c>
      <c r="V18" s="33"/>
      <c r="W18" s="34">
        <v>1400000</v>
      </c>
      <c r="X18" s="30"/>
      <c r="Y18" s="26">
        <f t="shared" si="6"/>
        <v>1400000</v>
      </c>
      <c r="Z18" s="18"/>
      <c r="AA18" s="19">
        <f t="shared" si="7"/>
        <v>1400000</v>
      </c>
      <c r="AB18" s="21">
        <f t="shared" si="8"/>
        <v>1.2389380530973451</v>
      </c>
      <c r="AC18" s="3"/>
      <c r="AD18" s="3"/>
    </row>
    <row r="19" spans="1:30" x14ac:dyDescent="0.25">
      <c r="A19" s="1"/>
      <c r="B19" s="22" t="s">
        <v>31</v>
      </c>
      <c r="C19" s="35" t="s">
        <v>32</v>
      </c>
      <c r="D19" s="36"/>
      <c r="E19" s="30"/>
      <c r="F19" s="37"/>
      <c r="G19" s="26">
        <f t="shared" si="1"/>
        <v>0</v>
      </c>
      <c r="H19" s="38"/>
      <c r="I19" s="19">
        <f t="shared" si="2"/>
        <v>0</v>
      </c>
      <c r="J19" s="36"/>
      <c r="K19" s="30"/>
      <c r="L19" s="37"/>
      <c r="M19" s="26">
        <f t="shared" si="0"/>
        <v>0</v>
      </c>
      <c r="N19" s="38"/>
      <c r="O19" s="19">
        <f t="shared" si="3"/>
        <v>0</v>
      </c>
      <c r="P19" s="36"/>
      <c r="Q19" s="30"/>
      <c r="R19" s="37">
        <v>420617</v>
      </c>
      <c r="S19" s="26">
        <f t="shared" si="4"/>
        <v>420617</v>
      </c>
      <c r="T19" s="38"/>
      <c r="U19" s="19">
        <f t="shared" si="5"/>
        <v>420617</v>
      </c>
      <c r="V19" s="36"/>
      <c r="W19" s="30"/>
      <c r="X19" s="37">
        <v>1000000</v>
      </c>
      <c r="Y19" s="26">
        <f t="shared" si="6"/>
        <v>1000000</v>
      </c>
      <c r="Z19" s="38"/>
      <c r="AA19" s="19">
        <f t="shared" si="7"/>
        <v>1000000</v>
      </c>
      <c r="AB19" s="21" t="e">
        <f t="shared" si="8"/>
        <v>#DIV/0!</v>
      </c>
      <c r="AC19" s="3"/>
      <c r="AD19" s="3"/>
    </row>
    <row r="20" spans="1:30" x14ac:dyDescent="0.25">
      <c r="A20" s="1"/>
      <c r="B20" s="22" t="s">
        <v>33</v>
      </c>
      <c r="C20" s="39" t="s">
        <v>34</v>
      </c>
      <c r="D20" s="33"/>
      <c r="E20" s="25"/>
      <c r="F20" s="40">
        <f>217703+10021.67+16652.78+97839.93+25665+119538+45941.4+101165.4</f>
        <v>634527.18000000005</v>
      </c>
      <c r="G20" s="26">
        <f t="shared" si="1"/>
        <v>634527.18000000005</v>
      </c>
      <c r="H20" s="38"/>
      <c r="I20" s="19">
        <f t="shared" si="2"/>
        <v>634527.18000000005</v>
      </c>
      <c r="J20" s="33"/>
      <c r="K20" s="25"/>
      <c r="L20" s="40">
        <v>1000000</v>
      </c>
      <c r="M20" s="26">
        <f t="shared" si="0"/>
        <v>1000000</v>
      </c>
      <c r="N20" s="38"/>
      <c r="O20" s="19">
        <f t="shared" si="3"/>
        <v>1000000</v>
      </c>
      <c r="P20" s="33"/>
      <c r="Q20" s="25"/>
      <c r="R20" s="40"/>
      <c r="S20" s="26">
        <f t="shared" si="4"/>
        <v>0</v>
      </c>
      <c r="T20" s="38"/>
      <c r="U20" s="19">
        <f t="shared" si="5"/>
        <v>0</v>
      </c>
      <c r="V20" s="33"/>
      <c r="W20" s="25"/>
      <c r="X20" s="40">
        <v>0</v>
      </c>
      <c r="Y20" s="26">
        <f t="shared" si="6"/>
        <v>0</v>
      </c>
      <c r="Z20" s="38"/>
      <c r="AA20" s="19">
        <f t="shared" si="7"/>
        <v>0</v>
      </c>
      <c r="AB20" s="21">
        <f t="shared" si="8"/>
        <v>0</v>
      </c>
      <c r="AC20" s="3"/>
      <c r="AD20" s="3"/>
    </row>
    <row r="21" spans="1:30" x14ac:dyDescent="0.25">
      <c r="A21" s="1"/>
      <c r="B21" s="22" t="s">
        <v>35</v>
      </c>
      <c r="C21" s="41" t="s">
        <v>36</v>
      </c>
      <c r="D21" s="33"/>
      <c r="E21" s="25"/>
      <c r="F21" s="40">
        <f>665468.38+1381589.61-H21+0.19</f>
        <v>2046518.1800000002</v>
      </c>
      <c r="G21" s="26">
        <f t="shared" si="1"/>
        <v>2046518.1800000002</v>
      </c>
      <c r="H21" s="42">
        <v>540</v>
      </c>
      <c r="I21" s="19">
        <f>G21+H21</f>
        <v>2047058.1800000002</v>
      </c>
      <c r="J21" s="33"/>
      <c r="K21" s="25"/>
      <c r="L21" s="40">
        <v>2470000</v>
      </c>
      <c r="M21" s="26">
        <f t="shared" si="0"/>
        <v>2470000</v>
      </c>
      <c r="N21" s="42"/>
      <c r="O21" s="19">
        <f>M21+N21</f>
        <v>2470000</v>
      </c>
      <c r="P21" s="33"/>
      <c r="Q21" s="25"/>
      <c r="R21" s="40">
        <v>1113825.8</v>
      </c>
      <c r="S21" s="26">
        <f t="shared" si="4"/>
        <v>1113825.8</v>
      </c>
      <c r="T21" s="42"/>
      <c r="U21" s="19">
        <f>S21+T21</f>
        <v>1113825.8</v>
      </c>
      <c r="V21" s="33"/>
      <c r="W21" s="25"/>
      <c r="X21" s="40">
        <v>2200000</v>
      </c>
      <c r="Y21" s="26">
        <f t="shared" si="6"/>
        <v>2200000</v>
      </c>
      <c r="Z21" s="42"/>
      <c r="AA21" s="19">
        <f>Y21+Z21</f>
        <v>2200000</v>
      </c>
      <c r="AB21" s="21">
        <f t="shared" si="8"/>
        <v>0.89068825910931171</v>
      </c>
      <c r="AC21" s="3"/>
      <c r="AD21" s="3"/>
    </row>
    <row r="22" spans="1:30" x14ac:dyDescent="0.25">
      <c r="A22" s="1"/>
      <c r="B22" s="22" t="s">
        <v>37</v>
      </c>
      <c r="C22" s="41" t="s">
        <v>38</v>
      </c>
      <c r="D22" s="33"/>
      <c r="E22" s="25"/>
      <c r="F22" s="40"/>
      <c r="G22" s="26">
        <f t="shared" si="1"/>
        <v>0</v>
      </c>
      <c r="H22" s="42"/>
      <c r="I22" s="19">
        <f t="shared" si="2"/>
        <v>0</v>
      </c>
      <c r="J22" s="33"/>
      <c r="K22" s="25"/>
      <c r="L22" s="40"/>
      <c r="M22" s="26">
        <f t="shared" si="0"/>
        <v>0</v>
      </c>
      <c r="N22" s="42"/>
      <c r="O22" s="19">
        <f t="shared" ref="O22:O23" si="9">M22+N22</f>
        <v>0</v>
      </c>
      <c r="P22" s="33"/>
      <c r="Q22" s="25"/>
      <c r="R22" s="40"/>
      <c r="S22" s="26">
        <f t="shared" si="4"/>
        <v>0</v>
      </c>
      <c r="T22" s="42"/>
      <c r="U22" s="19">
        <f t="shared" ref="U22:U23" si="10">S22+T22</f>
        <v>0</v>
      </c>
      <c r="V22" s="33"/>
      <c r="W22" s="25"/>
      <c r="X22" s="40"/>
      <c r="Y22" s="26">
        <f t="shared" si="6"/>
        <v>0</v>
      </c>
      <c r="Z22" s="42"/>
      <c r="AA22" s="19">
        <f t="shared" ref="AA22:AA23" si="11">Y22+Z22</f>
        <v>0</v>
      </c>
      <c r="AB22" s="21" t="e">
        <f t="shared" si="8"/>
        <v>#DIV/0!</v>
      </c>
      <c r="AC22" s="3"/>
      <c r="AD22" s="3"/>
    </row>
    <row r="23" spans="1:30" ht="15.75" thickBot="1" x14ac:dyDescent="0.3">
      <c r="A23" s="1"/>
      <c r="B23" s="43" t="s">
        <v>40</v>
      </c>
      <c r="C23" s="44" t="s">
        <v>41</v>
      </c>
      <c r="D23" s="46"/>
      <c r="E23" s="45"/>
      <c r="F23" s="50"/>
      <c r="G23" s="47">
        <f t="shared" si="1"/>
        <v>0</v>
      </c>
      <c r="H23" s="48"/>
      <c r="I23" s="49">
        <f t="shared" si="2"/>
        <v>0</v>
      </c>
      <c r="J23" s="46"/>
      <c r="K23" s="45"/>
      <c r="L23" s="50"/>
      <c r="M23" s="47">
        <f t="shared" si="0"/>
        <v>0</v>
      </c>
      <c r="N23" s="48"/>
      <c r="O23" s="49">
        <f t="shared" si="9"/>
        <v>0</v>
      </c>
      <c r="P23" s="46"/>
      <c r="Q23" s="45"/>
      <c r="R23" s="50"/>
      <c r="S23" s="47">
        <f t="shared" si="4"/>
        <v>0</v>
      </c>
      <c r="T23" s="48"/>
      <c r="U23" s="49">
        <f t="shared" si="10"/>
        <v>0</v>
      </c>
      <c r="V23" s="46"/>
      <c r="W23" s="45"/>
      <c r="X23" s="50"/>
      <c r="Y23" s="47">
        <f t="shared" si="6"/>
        <v>0</v>
      </c>
      <c r="Z23" s="48"/>
      <c r="AA23" s="49">
        <f t="shared" si="11"/>
        <v>0</v>
      </c>
      <c r="AB23" s="51" t="e">
        <f t="shared" si="8"/>
        <v>#DIV/0!</v>
      </c>
      <c r="AC23" s="3"/>
      <c r="AD23" s="3"/>
    </row>
    <row r="24" spans="1:30" ht="15.75" thickBot="1" x14ac:dyDescent="0.3">
      <c r="A24" s="1"/>
      <c r="B24" s="52" t="s">
        <v>42</v>
      </c>
      <c r="C24" s="53" t="s">
        <v>43</v>
      </c>
      <c r="D24" s="54">
        <f>SUM(D15:D21)</f>
        <v>36000000</v>
      </c>
      <c r="E24" s="55">
        <f>SUM(E15:E21)</f>
        <v>1372726</v>
      </c>
      <c r="F24" s="55">
        <f>SUM(F15:F21)</f>
        <v>27452068.66</v>
      </c>
      <c r="G24" s="56">
        <f>SUM(D24:F24)</f>
        <v>64824794.659999996</v>
      </c>
      <c r="H24" s="57">
        <f>SUM(H15:H21)</f>
        <v>3101091.9699999997</v>
      </c>
      <c r="I24" s="57">
        <f>SUM(I15:I21)</f>
        <v>67925886.629999995</v>
      </c>
      <c r="J24" s="54">
        <f>SUM(J15:J21)</f>
        <v>37700000</v>
      </c>
      <c r="K24" s="55">
        <f>SUM(K15:K21)</f>
        <v>1130000</v>
      </c>
      <c r="L24" s="55">
        <f>SUM(L15:L21)</f>
        <v>26970000</v>
      </c>
      <c r="M24" s="56">
        <f>SUM(J24:L24)</f>
        <v>65800000</v>
      </c>
      <c r="N24" s="57">
        <f>SUM(N15:N21)</f>
        <v>3300000</v>
      </c>
      <c r="O24" s="57">
        <f>SUM(O15:O21)</f>
        <v>69100000</v>
      </c>
      <c r="P24" s="54">
        <f>SUM(P15:P21)</f>
        <v>18850000</v>
      </c>
      <c r="Q24" s="55">
        <f>SUM(Q15:Q21)</f>
        <v>342379.39</v>
      </c>
      <c r="R24" s="55">
        <f>SUM(R15:R21)</f>
        <v>11296696.610000001</v>
      </c>
      <c r="S24" s="56">
        <f>SUM(P24:R24)</f>
        <v>30489076</v>
      </c>
      <c r="T24" s="57">
        <f>SUM(T15:T21)</f>
        <v>1935969.44</v>
      </c>
      <c r="U24" s="57">
        <f>SUM(U15:U21)</f>
        <v>32425045.440000001</v>
      </c>
      <c r="V24" s="54">
        <f>SUM(V15:V21)</f>
        <v>42000000</v>
      </c>
      <c r="W24" s="55">
        <f>SUM(W15:W21)</f>
        <v>1400000</v>
      </c>
      <c r="X24" s="55">
        <f>SUM(X15:X21)</f>
        <v>28000000</v>
      </c>
      <c r="Y24" s="56">
        <f>SUM(V24:X24)</f>
        <v>71400000</v>
      </c>
      <c r="Z24" s="57">
        <f>SUM(Z15:Z21)</f>
        <v>3900000</v>
      </c>
      <c r="AA24" s="57">
        <f>SUM(AA15:AA21)</f>
        <v>75300000</v>
      </c>
      <c r="AB24" s="58">
        <f t="shared" si="8"/>
        <v>1.0897250361794502</v>
      </c>
      <c r="AC24" s="3"/>
      <c r="AD24" s="3"/>
    </row>
    <row r="25" spans="1:30" ht="15.75" customHeight="1" thickBot="1" x14ac:dyDescent="0.3">
      <c r="A25" s="1"/>
      <c r="B25" s="59"/>
      <c r="C25" s="60"/>
      <c r="D25" s="205" t="s">
        <v>44</v>
      </c>
      <c r="E25" s="206"/>
      <c r="F25" s="206"/>
      <c r="G25" s="207"/>
      <c r="H25" s="207"/>
      <c r="I25" s="208"/>
      <c r="J25" s="205" t="s">
        <v>44</v>
      </c>
      <c r="K25" s="206"/>
      <c r="L25" s="206"/>
      <c r="M25" s="207"/>
      <c r="N25" s="207"/>
      <c r="O25" s="208"/>
      <c r="P25" s="205" t="s">
        <v>44</v>
      </c>
      <c r="Q25" s="206"/>
      <c r="R25" s="206"/>
      <c r="S25" s="207"/>
      <c r="T25" s="207"/>
      <c r="U25" s="208"/>
      <c r="V25" s="205" t="s">
        <v>44</v>
      </c>
      <c r="W25" s="206"/>
      <c r="X25" s="206"/>
      <c r="Y25" s="207"/>
      <c r="Z25" s="207"/>
      <c r="AA25" s="208"/>
      <c r="AB25" s="217" t="s">
        <v>12</v>
      </c>
      <c r="AC25" s="3"/>
      <c r="AD25" s="3"/>
    </row>
    <row r="26" spans="1:30" ht="15.75" thickBot="1" x14ac:dyDescent="0.3">
      <c r="A26" s="1"/>
      <c r="B26" s="197" t="s">
        <v>6</v>
      </c>
      <c r="C26" s="199" t="s">
        <v>7</v>
      </c>
      <c r="D26" s="189" t="s">
        <v>46</v>
      </c>
      <c r="E26" s="190"/>
      <c r="F26" s="190"/>
      <c r="G26" s="191" t="s">
        <v>47</v>
      </c>
      <c r="H26" s="193" t="s">
        <v>48</v>
      </c>
      <c r="I26" s="195" t="s">
        <v>44</v>
      </c>
      <c r="J26" s="189" t="s">
        <v>46</v>
      </c>
      <c r="K26" s="190"/>
      <c r="L26" s="190"/>
      <c r="M26" s="191" t="s">
        <v>47</v>
      </c>
      <c r="N26" s="193" t="s">
        <v>48</v>
      </c>
      <c r="O26" s="195" t="s">
        <v>44</v>
      </c>
      <c r="P26" s="189" t="s">
        <v>46</v>
      </c>
      <c r="Q26" s="190"/>
      <c r="R26" s="190"/>
      <c r="S26" s="191" t="s">
        <v>47</v>
      </c>
      <c r="T26" s="193" t="s">
        <v>48</v>
      </c>
      <c r="U26" s="195" t="s">
        <v>44</v>
      </c>
      <c r="V26" s="189" t="s">
        <v>46</v>
      </c>
      <c r="W26" s="190"/>
      <c r="X26" s="190"/>
      <c r="Y26" s="191" t="s">
        <v>47</v>
      </c>
      <c r="Z26" s="193" t="s">
        <v>48</v>
      </c>
      <c r="AA26" s="195" t="s">
        <v>44</v>
      </c>
      <c r="AB26" s="218"/>
      <c r="AC26" s="3"/>
      <c r="AD26" s="3"/>
    </row>
    <row r="27" spans="1:30" ht="15.75" thickBot="1" x14ac:dyDescent="0.3">
      <c r="A27" s="1"/>
      <c r="B27" s="198"/>
      <c r="C27" s="200"/>
      <c r="D27" s="61" t="s">
        <v>49</v>
      </c>
      <c r="E27" s="62" t="s">
        <v>50</v>
      </c>
      <c r="F27" s="63" t="s">
        <v>51</v>
      </c>
      <c r="G27" s="192"/>
      <c r="H27" s="194"/>
      <c r="I27" s="196"/>
      <c r="J27" s="61" t="s">
        <v>49</v>
      </c>
      <c r="K27" s="62" t="s">
        <v>50</v>
      </c>
      <c r="L27" s="63" t="s">
        <v>51</v>
      </c>
      <c r="M27" s="192"/>
      <c r="N27" s="194"/>
      <c r="O27" s="196"/>
      <c r="P27" s="61" t="s">
        <v>49</v>
      </c>
      <c r="Q27" s="62" t="s">
        <v>50</v>
      </c>
      <c r="R27" s="63" t="s">
        <v>51</v>
      </c>
      <c r="S27" s="192"/>
      <c r="T27" s="194"/>
      <c r="U27" s="196"/>
      <c r="V27" s="61" t="s">
        <v>49</v>
      </c>
      <c r="W27" s="62" t="s">
        <v>50</v>
      </c>
      <c r="X27" s="63" t="s">
        <v>51</v>
      </c>
      <c r="Y27" s="192"/>
      <c r="Z27" s="194"/>
      <c r="AA27" s="196"/>
      <c r="AB27" s="219"/>
      <c r="AC27" s="3"/>
      <c r="AD27" s="3"/>
    </row>
    <row r="28" spans="1:30" x14ac:dyDescent="0.25">
      <c r="A28" s="1"/>
      <c r="B28" s="13" t="s">
        <v>52</v>
      </c>
      <c r="C28" s="64" t="s">
        <v>53</v>
      </c>
      <c r="D28" s="65">
        <v>2180000</v>
      </c>
      <c r="E28" s="65"/>
      <c r="F28" s="65">
        <f>2751616.89-H28-D28-E28</f>
        <v>554646.89000000013</v>
      </c>
      <c r="G28" s="66">
        <f>SUM(D28:F28)</f>
        <v>2734646.89</v>
      </c>
      <c r="H28" s="66">
        <f>14520+2450</f>
        <v>16970</v>
      </c>
      <c r="I28" s="67">
        <f>G28+H28</f>
        <v>2751616.89</v>
      </c>
      <c r="J28" s="68">
        <v>2200000</v>
      </c>
      <c r="K28" s="65"/>
      <c r="L28" s="65">
        <v>1380000</v>
      </c>
      <c r="M28" s="66">
        <f>SUM(J28:L28)</f>
        <v>3580000</v>
      </c>
      <c r="N28" s="66">
        <v>100000</v>
      </c>
      <c r="O28" s="67">
        <f>M28+N28</f>
        <v>3680000</v>
      </c>
      <c r="P28" s="168">
        <v>609659.83351955307</v>
      </c>
      <c r="Q28" s="65"/>
      <c r="R28" s="65">
        <v>382422.98648044688</v>
      </c>
      <c r="S28" s="66">
        <f>SUM(P28:R28)</f>
        <v>992082.82</v>
      </c>
      <c r="T28" s="66"/>
      <c r="U28" s="67">
        <f>S28+T28</f>
        <v>992082.82</v>
      </c>
      <c r="V28" s="168">
        <f>3500000-1000000-500000</f>
        <v>2000000</v>
      </c>
      <c r="W28" s="65"/>
      <c r="X28" s="65">
        <f>4300000-V28-W28-300000</f>
        <v>2000000</v>
      </c>
      <c r="Y28" s="66">
        <f>SUM(V28:X28)</f>
        <v>4000000</v>
      </c>
      <c r="Z28" s="66">
        <v>50000</v>
      </c>
      <c r="AA28" s="67">
        <f>Y28+Z28</f>
        <v>4050000</v>
      </c>
      <c r="AB28" s="21">
        <f t="shared" ref="AB28:AB41" si="12">(AA28/O28)</f>
        <v>1.1005434782608696</v>
      </c>
      <c r="AC28" s="3"/>
      <c r="AD28" s="3"/>
    </row>
    <row r="29" spans="1:30" x14ac:dyDescent="0.25">
      <c r="A29" s="1"/>
      <c r="B29" s="22" t="s">
        <v>54</v>
      </c>
      <c r="C29" s="69" t="s">
        <v>55</v>
      </c>
      <c r="D29" s="70">
        <v>4620000</v>
      </c>
      <c r="E29" s="70">
        <f>701746+73922</f>
        <v>775668</v>
      </c>
      <c r="F29" s="70">
        <f>8683193.97-H29-D29-E29</f>
        <v>2910353.4700000007</v>
      </c>
      <c r="G29" s="71">
        <f t="shared" ref="G29:G38" si="13">SUM(D29:F29)</f>
        <v>8306021.4700000007</v>
      </c>
      <c r="H29" s="72">
        <f>6399+6603+129356.42+203503.3+31310.78</f>
        <v>377172.5</v>
      </c>
      <c r="I29" s="19">
        <f t="shared" ref="I29:I38" si="14">G29+H29</f>
        <v>8683193.9700000007</v>
      </c>
      <c r="J29" s="73">
        <v>5200000</v>
      </c>
      <c r="K29" s="70">
        <v>130000</v>
      </c>
      <c r="L29" s="70">
        <v>2470000</v>
      </c>
      <c r="M29" s="71">
        <f t="shared" ref="M29:M38" si="15">SUM(J29:L29)</f>
        <v>7800000</v>
      </c>
      <c r="N29" s="72">
        <v>1100000</v>
      </c>
      <c r="O29" s="19">
        <f t="shared" ref="O29:O38" si="16">M29+N29</f>
        <v>8900000</v>
      </c>
      <c r="P29" s="169">
        <v>2560668.3933333335</v>
      </c>
      <c r="Q29" s="170">
        <v>116913.87</v>
      </c>
      <c r="R29" s="170">
        <v>1046506.4566666667</v>
      </c>
      <c r="S29" s="171">
        <f t="shared" ref="S29:S38" si="17">SUM(P29:R29)</f>
        <v>3724088.72</v>
      </c>
      <c r="T29" s="172">
        <v>131818.46</v>
      </c>
      <c r="U29" s="173">
        <f t="shared" ref="U29:U38" si="18">S29+T29</f>
        <v>3855907.18</v>
      </c>
      <c r="V29" s="169">
        <f>5200000-500000</f>
        <v>4700000</v>
      </c>
      <c r="W29" s="170">
        <v>800000</v>
      </c>
      <c r="X29" s="170">
        <f>7800000-V29-W29</f>
        <v>2300000</v>
      </c>
      <c r="Y29" s="171">
        <f t="shared" ref="Y29:Y38" si="19">SUM(V29:X29)</f>
        <v>7800000</v>
      </c>
      <c r="Z29" s="172">
        <v>1100000</v>
      </c>
      <c r="AA29" s="173">
        <f t="shared" ref="AA29:AA38" si="20">Y29+Z29</f>
        <v>8900000</v>
      </c>
      <c r="AB29" s="21">
        <f t="shared" si="12"/>
        <v>1</v>
      </c>
      <c r="AC29" s="3"/>
      <c r="AD29" s="3"/>
    </row>
    <row r="30" spans="1:30" x14ac:dyDescent="0.25">
      <c r="A30" s="1"/>
      <c r="B30" s="22" t="s">
        <v>56</v>
      </c>
      <c r="C30" s="41" t="s">
        <v>57</v>
      </c>
      <c r="D30" s="74">
        <v>1510000</v>
      </c>
      <c r="E30" s="74"/>
      <c r="F30" s="74">
        <f>3180473.65-D30-E30</f>
        <v>1670473.65</v>
      </c>
      <c r="G30" s="71">
        <f t="shared" si="13"/>
        <v>3180473.65</v>
      </c>
      <c r="H30" s="71"/>
      <c r="I30" s="19">
        <f t="shared" si="14"/>
        <v>3180473.65</v>
      </c>
      <c r="J30" s="75">
        <v>1500000</v>
      </c>
      <c r="K30" s="74"/>
      <c r="L30" s="74">
        <v>1790000</v>
      </c>
      <c r="M30" s="71">
        <f t="shared" si="15"/>
        <v>3290000</v>
      </c>
      <c r="N30" s="71">
        <v>30000</v>
      </c>
      <c r="O30" s="19">
        <f t="shared" si="16"/>
        <v>3320000</v>
      </c>
      <c r="P30" s="174">
        <v>1049254.73100304</v>
      </c>
      <c r="Q30" s="175"/>
      <c r="R30" s="175">
        <v>1142443.97899696</v>
      </c>
      <c r="S30" s="171">
        <f t="shared" si="17"/>
        <v>2191698.71</v>
      </c>
      <c r="T30" s="171">
        <v>34455</v>
      </c>
      <c r="U30" s="173">
        <f t="shared" si="18"/>
        <v>2226153.71</v>
      </c>
      <c r="V30" s="174">
        <v>2000000</v>
      </c>
      <c r="W30" s="175"/>
      <c r="X30" s="175">
        <f>3900000-V30-W30-100000</f>
        <v>1800000</v>
      </c>
      <c r="Y30" s="171">
        <f t="shared" si="19"/>
        <v>3800000</v>
      </c>
      <c r="Z30" s="171">
        <v>0</v>
      </c>
      <c r="AA30" s="173">
        <f t="shared" si="20"/>
        <v>3800000</v>
      </c>
      <c r="AB30" s="21">
        <f t="shared" si="12"/>
        <v>1.1445783132530121</v>
      </c>
      <c r="AC30" s="3"/>
      <c r="AD30" s="3"/>
    </row>
    <row r="31" spans="1:30" x14ac:dyDescent="0.25">
      <c r="A31" s="1"/>
      <c r="B31" s="22" t="s">
        <v>58</v>
      </c>
      <c r="C31" s="41" t="s">
        <v>59</v>
      </c>
      <c r="D31" s="175">
        <v>4520000</v>
      </c>
      <c r="E31" s="175"/>
      <c r="F31" s="175">
        <f>7755355.03-H31-D31-E31</f>
        <v>3165458.0300000003</v>
      </c>
      <c r="G31" s="171">
        <f t="shared" si="13"/>
        <v>7685458.0300000003</v>
      </c>
      <c r="H31" s="171">
        <f>61600+8297</f>
        <v>69897</v>
      </c>
      <c r="I31" s="173">
        <f t="shared" si="14"/>
        <v>7755355.0300000003</v>
      </c>
      <c r="J31" s="75">
        <v>4620000</v>
      </c>
      <c r="K31" s="74"/>
      <c r="L31" s="74">
        <v>5280000</v>
      </c>
      <c r="M31" s="71">
        <f t="shared" si="15"/>
        <v>9900000</v>
      </c>
      <c r="N31" s="71">
        <v>40000</v>
      </c>
      <c r="O31" s="19">
        <f t="shared" si="16"/>
        <v>9940000</v>
      </c>
      <c r="P31" s="174">
        <v>1612595.5533333332</v>
      </c>
      <c r="Q31" s="175"/>
      <c r="R31" s="175">
        <v>1842966.3466666667</v>
      </c>
      <c r="S31" s="171">
        <f t="shared" si="17"/>
        <v>3455561.9</v>
      </c>
      <c r="T31" s="171">
        <v>0</v>
      </c>
      <c r="U31" s="173">
        <f t="shared" si="18"/>
        <v>3455561.9</v>
      </c>
      <c r="V31" s="174">
        <v>4620000</v>
      </c>
      <c r="W31" s="175"/>
      <c r="X31" s="175">
        <f>9340000-V31-W31-40000-300000</f>
        <v>4380000</v>
      </c>
      <c r="Y31" s="171">
        <f t="shared" si="19"/>
        <v>9000000</v>
      </c>
      <c r="Z31" s="171">
        <v>60000</v>
      </c>
      <c r="AA31" s="173">
        <f t="shared" si="20"/>
        <v>9060000</v>
      </c>
      <c r="AB31" s="21">
        <f t="shared" si="12"/>
        <v>0.91146881287726356</v>
      </c>
      <c r="AC31" s="3"/>
      <c r="AD31" s="3"/>
    </row>
    <row r="32" spans="1:30" x14ac:dyDescent="0.25">
      <c r="A32" s="1"/>
      <c r="B32" s="22" t="s">
        <v>60</v>
      </c>
      <c r="C32" s="41" t="s">
        <v>61</v>
      </c>
      <c r="D32" s="171">
        <f t="shared" ref="D32:E32" si="21">+D33+D34</f>
        <v>14500000</v>
      </c>
      <c r="E32" s="171">
        <f t="shared" si="21"/>
        <v>84000</v>
      </c>
      <c r="F32" s="171">
        <f>+F33+F34</f>
        <v>10619600</v>
      </c>
      <c r="G32" s="171">
        <f t="shared" ref="G32" si="22">+G33+G34</f>
        <v>25203600</v>
      </c>
      <c r="H32" s="171">
        <f>+H33+H34</f>
        <v>900918</v>
      </c>
      <c r="I32" s="173">
        <f>G32+H32</f>
        <v>26104518</v>
      </c>
      <c r="J32" s="163">
        <v>15740000</v>
      </c>
      <c r="K32" s="74">
        <v>800000</v>
      </c>
      <c r="L32" s="74">
        <v>11080000</v>
      </c>
      <c r="M32" s="71">
        <f t="shared" si="15"/>
        <v>27620000</v>
      </c>
      <c r="N32" s="71">
        <v>980000</v>
      </c>
      <c r="O32" s="19">
        <f t="shared" si="16"/>
        <v>28600000</v>
      </c>
      <c r="P32" s="174">
        <v>6726754.0163194537</v>
      </c>
      <c r="Q32" s="175">
        <v>183481.73134328399</v>
      </c>
      <c r="R32" s="175">
        <v>4710154.5623372626</v>
      </c>
      <c r="S32" s="171">
        <f t="shared" si="17"/>
        <v>11620390.310000001</v>
      </c>
      <c r="T32" s="171">
        <v>341345.69</v>
      </c>
      <c r="U32" s="173">
        <f t="shared" si="18"/>
        <v>11961736</v>
      </c>
      <c r="V32" s="176">
        <f t="shared" ref="V32:W32" si="23">+V33+V34</f>
        <v>15620000</v>
      </c>
      <c r="W32" s="175">
        <f t="shared" si="23"/>
        <v>300000</v>
      </c>
      <c r="X32" s="175">
        <f>+X33+X34</f>
        <v>13050000</v>
      </c>
      <c r="Y32" s="171">
        <f t="shared" si="19"/>
        <v>28970000</v>
      </c>
      <c r="Z32" s="175">
        <f>+Z33+Z34</f>
        <v>800000</v>
      </c>
      <c r="AA32" s="173">
        <f>Y32+Z32</f>
        <v>29770000</v>
      </c>
      <c r="AB32" s="21">
        <f t="shared" si="12"/>
        <v>1.040909090909091</v>
      </c>
      <c r="AC32" s="3"/>
      <c r="AD32" s="3"/>
    </row>
    <row r="33" spans="1:30" x14ac:dyDescent="0.25">
      <c r="A33" s="1"/>
      <c r="B33" s="22" t="s">
        <v>62</v>
      </c>
      <c r="C33" s="35" t="s">
        <v>63</v>
      </c>
      <c r="D33" s="177">
        <v>13760000</v>
      </c>
      <c r="E33" s="175">
        <v>84000</v>
      </c>
      <c r="F33" s="175">
        <f>20037839+117945+1580504+115842-D33-E33</f>
        <v>8008130</v>
      </c>
      <c r="G33" s="171">
        <f t="shared" si="13"/>
        <v>21852130</v>
      </c>
      <c r="H33" s="171">
        <v>694017</v>
      </c>
      <c r="I33" s="173">
        <f t="shared" si="14"/>
        <v>22546147</v>
      </c>
      <c r="J33" s="163">
        <v>15000000</v>
      </c>
      <c r="K33" s="74"/>
      <c r="L33" s="74">
        <v>10150000</v>
      </c>
      <c r="M33" s="71">
        <f t="shared" si="15"/>
        <v>25150000</v>
      </c>
      <c r="N33" s="71">
        <v>0</v>
      </c>
      <c r="O33" s="19">
        <f t="shared" si="16"/>
        <v>25150000</v>
      </c>
      <c r="P33" s="174">
        <v>6250148.5163194537</v>
      </c>
      <c r="Q33" s="175"/>
      <c r="R33" s="175">
        <v>3598075.0623372626</v>
      </c>
      <c r="S33" s="171">
        <f t="shared" si="17"/>
        <v>9848223.5786567163</v>
      </c>
      <c r="T33" s="171"/>
      <c r="U33" s="173">
        <f t="shared" si="18"/>
        <v>9848223.5786567163</v>
      </c>
      <c r="V33" s="174">
        <f>15500000-500000</f>
        <v>15000000</v>
      </c>
      <c r="W33" s="175">
        <v>300000</v>
      </c>
      <c r="X33" s="175">
        <f>25950000-V33-W33</f>
        <v>10650000</v>
      </c>
      <c r="Y33" s="171">
        <f t="shared" si="19"/>
        <v>25950000</v>
      </c>
      <c r="Z33" s="171">
        <v>0</v>
      </c>
      <c r="AA33" s="173">
        <f t="shared" si="20"/>
        <v>25950000</v>
      </c>
      <c r="AB33" s="21">
        <f t="shared" si="12"/>
        <v>1.0318091451292246</v>
      </c>
      <c r="AC33" s="3"/>
      <c r="AD33" s="3"/>
    </row>
    <row r="34" spans="1:30" x14ac:dyDescent="0.25">
      <c r="A34" s="1"/>
      <c r="B34" s="22" t="s">
        <v>64</v>
      </c>
      <c r="C34" s="76" t="s">
        <v>65</v>
      </c>
      <c r="D34" s="177">
        <v>740000</v>
      </c>
      <c r="E34" s="175"/>
      <c r="F34" s="175">
        <f>662604+89964+246113+173586+877848+1301355-D34-E34</f>
        <v>2611470</v>
      </c>
      <c r="G34" s="171">
        <f t="shared" si="13"/>
        <v>3351470</v>
      </c>
      <c r="H34" s="171">
        <f>123242+83659</f>
        <v>206901</v>
      </c>
      <c r="I34" s="173">
        <f t="shared" si="14"/>
        <v>3558371</v>
      </c>
      <c r="J34" s="163">
        <v>740000</v>
      </c>
      <c r="K34" s="74"/>
      <c r="L34" s="74">
        <v>1730000</v>
      </c>
      <c r="M34" s="71">
        <f>SUM(J34:L34)</f>
        <v>2470000</v>
      </c>
      <c r="N34" s="71">
        <v>980000</v>
      </c>
      <c r="O34" s="19">
        <f t="shared" si="16"/>
        <v>3450000</v>
      </c>
      <c r="P34" s="174">
        <v>476605.5</v>
      </c>
      <c r="Q34" s="175"/>
      <c r="R34" s="175">
        <v>1112079.5</v>
      </c>
      <c r="S34" s="171">
        <f t="shared" si="17"/>
        <v>1588685</v>
      </c>
      <c r="T34" s="171"/>
      <c r="U34" s="173">
        <f t="shared" si="18"/>
        <v>1588685</v>
      </c>
      <c r="V34" s="174">
        <f>820000-200000</f>
        <v>620000</v>
      </c>
      <c r="W34" s="175"/>
      <c r="X34" s="175">
        <f>3020000-V34-W34</f>
        <v>2400000</v>
      </c>
      <c r="Y34" s="171">
        <f t="shared" si="19"/>
        <v>3020000</v>
      </c>
      <c r="Z34" s="171">
        <v>800000</v>
      </c>
      <c r="AA34" s="173">
        <f t="shared" si="20"/>
        <v>3820000</v>
      </c>
      <c r="AB34" s="21">
        <f t="shared" si="12"/>
        <v>1.1072463768115941</v>
      </c>
      <c r="AC34" s="3"/>
      <c r="AD34" s="3"/>
    </row>
    <row r="35" spans="1:30" x14ac:dyDescent="0.25">
      <c r="A35" s="1"/>
      <c r="B35" s="22" t="s">
        <v>66</v>
      </c>
      <c r="C35" s="41" t="s">
        <v>67</v>
      </c>
      <c r="D35" s="162">
        <v>5200000</v>
      </c>
      <c r="E35" s="74"/>
      <c r="F35" s="74">
        <f>8155950-H35-D35-E35</f>
        <v>2710147</v>
      </c>
      <c r="G35" s="71">
        <f t="shared" si="13"/>
        <v>7910147</v>
      </c>
      <c r="H35" s="71">
        <f>67632.5+178170.5</f>
        <v>245803</v>
      </c>
      <c r="I35" s="19">
        <f t="shared" si="14"/>
        <v>8155950</v>
      </c>
      <c r="J35" s="163">
        <v>5100000</v>
      </c>
      <c r="K35" s="74">
        <v>200000</v>
      </c>
      <c r="L35" s="74">
        <v>3480000</v>
      </c>
      <c r="M35" s="71">
        <f t="shared" si="15"/>
        <v>8780000</v>
      </c>
      <c r="N35" s="71">
        <v>200000</v>
      </c>
      <c r="O35" s="19">
        <f t="shared" si="16"/>
        <v>8980000</v>
      </c>
      <c r="P35" s="174">
        <v>2146442.7970387242</v>
      </c>
      <c r="Q35" s="175">
        <v>41983.78</v>
      </c>
      <c r="R35" s="175">
        <v>1464838.2229612756</v>
      </c>
      <c r="S35" s="171">
        <f t="shared" si="17"/>
        <v>3653264.8</v>
      </c>
      <c r="T35" s="171">
        <v>110061.2</v>
      </c>
      <c r="U35" s="173">
        <f t="shared" si="18"/>
        <v>3763326</v>
      </c>
      <c r="V35" s="174">
        <f>5300000-100000</f>
        <v>5200000</v>
      </c>
      <c r="W35" s="175">
        <f>+W33*0.338</f>
        <v>101400</v>
      </c>
      <c r="X35" s="175">
        <f>8360000+550000-V35-W35</f>
        <v>3608600</v>
      </c>
      <c r="Y35" s="171">
        <f t="shared" si="19"/>
        <v>8910000</v>
      </c>
      <c r="Z35" s="171">
        <v>250000</v>
      </c>
      <c r="AA35" s="173">
        <f t="shared" si="20"/>
        <v>9160000</v>
      </c>
      <c r="AB35" s="21">
        <f t="shared" si="12"/>
        <v>1.0200445434298442</v>
      </c>
      <c r="AC35" s="3"/>
      <c r="AD35" s="3"/>
    </row>
    <row r="36" spans="1:30" x14ac:dyDescent="0.25">
      <c r="A36" s="1"/>
      <c r="B36" s="22" t="s">
        <v>68</v>
      </c>
      <c r="C36" s="41" t="s">
        <v>69</v>
      </c>
      <c r="D36" s="74">
        <v>24793.48</v>
      </c>
      <c r="E36" s="74"/>
      <c r="F36" s="74">
        <f>24793.48-D36-E36</f>
        <v>0</v>
      </c>
      <c r="G36" s="71">
        <f t="shared" si="13"/>
        <v>24793.48</v>
      </c>
      <c r="H36" s="71"/>
      <c r="I36" s="19">
        <f t="shared" si="14"/>
        <v>24793.48</v>
      </c>
      <c r="J36" s="75">
        <v>60000</v>
      </c>
      <c r="K36" s="74"/>
      <c r="L36" s="74">
        <v>0</v>
      </c>
      <c r="M36" s="71">
        <f t="shared" si="15"/>
        <v>60000</v>
      </c>
      <c r="N36" s="71">
        <v>0</v>
      </c>
      <c r="O36" s="19">
        <f t="shared" si="16"/>
        <v>60000</v>
      </c>
      <c r="P36" s="174">
        <v>18860</v>
      </c>
      <c r="Q36" s="175"/>
      <c r="R36" s="175">
        <v>0</v>
      </c>
      <c r="S36" s="171">
        <f t="shared" si="17"/>
        <v>18860</v>
      </c>
      <c r="T36" s="171"/>
      <c r="U36" s="173">
        <f t="shared" si="18"/>
        <v>18860</v>
      </c>
      <c r="V36" s="174">
        <v>60000</v>
      </c>
      <c r="W36" s="175"/>
      <c r="X36" s="175">
        <f>60000-V36</f>
        <v>0</v>
      </c>
      <c r="Y36" s="171">
        <f t="shared" si="19"/>
        <v>60000</v>
      </c>
      <c r="Z36" s="171"/>
      <c r="AA36" s="173">
        <f t="shared" si="20"/>
        <v>60000</v>
      </c>
      <c r="AB36" s="21">
        <f t="shared" si="12"/>
        <v>1</v>
      </c>
      <c r="AC36" s="3"/>
      <c r="AD36" s="3"/>
    </row>
    <row r="37" spans="1:30" x14ac:dyDescent="0.25">
      <c r="A37" s="1"/>
      <c r="B37" s="22" t="s">
        <v>70</v>
      </c>
      <c r="C37" s="41" t="s">
        <v>71</v>
      </c>
      <c r="D37" s="74">
        <v>3100000</v>
      </c>
      <c r="E37" s="74"/>
      <c r="F37" s="74">
        <f>3389111.67-D37-E37</f>
        <v>289111.66999999993</v>
      </c>
      <c r="G37" s="71">
        <f t="shared" si="13"/>
        <v>3389111.67</v>
      </c>
      <c r="H37" s="71"/>
      <c r="I37" s="19">
        <f t="shared" si="14"/>
        <v>3389111.67</v>
      </c>
      <c r="J37" s="75">
        <v>2550000</v>
      </c>
      <c r="K37" s="74"/>
      <c r="L37" s="74">
        <v>0</v>
      </c>
      <c r="M37" s="71">
        <f t="shared" si="15"/>
        <v>2550000</v>
      </c>
      <c r="N37" s="71">
        <v>10000</v>
      </c>
      <c r="O37" s="19">
        <f t="shared" si="16"/>
        <v>2560000</v>
      </c>
      <c r="P37" s="174">
        <v>3519282</v>
      </c>
      <c r="Q37" s="175"/>
      <c r="R37" s="175">
        <v>0</v>
      </c>
      <c r="S37" s="171">
        <f t="shared" si="17"/>
        <v>3519282</v>
      </c>
      <c r="T37" s="171"/>
      <c r="U37" s="173">
        <f t="shared" si="18"/>
        <v>3519282</v>
      </c>
      <c r="V37" s="174">
        <v>7200000</v>
      </c>
      <c r="W37" s="175"/>
      <c r="X37" s="175">
        <v>0</v>
      </c>
      <c r="Y37" s="171">
        <f t="shared" si="19"/>
        <v>7200000</v>
      </c>
      <c r="Z37" s="171">
        <v>440000</v>
      </c>
      <c r="AA37" s="173">
        <f t="shared" si="20"/>
        <v>7640000</v>
      </c>
      <c r="AB37" s="21">
        <f t="shared" si="12"/>
        <v>2.984375</v>
      </c>
      <c r="AC37" s="3"/>
      <c r="AD37" s="3"/>
    </row>
    <row r="38" spans="1:30" ht="15.75" thickBot="1" x14ac:dyDescent="0.3">
      <c r="A38" s="1"/>
      <c r="B38" s="77" t="s">
        <v>72</v>
      </c>
      <c r="C38" s="78" t="s">
        <v>73</v>
      </c>
      <c r="D38" s="79">
        <f>335000+10206.5</f>
        <v>345206.5</v>
      </c>
      <c r="E38" s="178">
        <v>513058</v>
      </c>
      <c r="F38" s="79">
        <f>65420595.75-60045012.7-H38-D38-E38</f>
        <v>3670477.7099999972</v>
      </c>
      <c r="G38" s="71">
        <f t="shared" si="13"/>
        <v>4528742.2099999972</v>
      </c>
      <c r="H38" s="80">
        <f>24361.88+822478.96</f>
        <v>846840.84</v>
      </c>
      <c r="I38" s="49">
        <f t="shared" si="14"/>
        <v>5375583.049999997</v>
      </c>
      <c r="J38" s="81">
        <v>730000</v>
      </c>
      <c r="K38" s="79"/>
      <c r="L38" s="79">
        <v>2230000</v>
      </c>
      <c r="M38" s="80">
        <f t="shared" si="15"/>
        <v>2960000</v>
      </c>
      <c r="N38" s="80">
        <v>100000</v>
      </c>
      <c r="O38" s="49">
        <f t="shared" si="16"/>
        <v>3060000</v>
      </c>
      <c r="P38" s="179">
        <v>599755.80000000005</v>
      </c>
      <c r="Q38" s="180"/>
      <c r="R38" s="180">
        <v>695748.17999999993</v>
      </c>
      <c r="S38" s="181">
        <f t="shared" si="17"/>
        <v>1295503.98</v>
      </c>
      <c r="T38" s="181">
        <v>450817.04</v>
      </c>
      <c r="U38" s="182">
        <f t="shared" si="18"/>
        <v>1746321.02</v>
      </c>
      <c r="V38" s="179">
        <f>800000-200000</f>
        <v>600000</v>
      </c>
      <c r="W38" s="180">
        <f>298600-100000</f>
        <v>198600</v>
      </c>
      <c r="X38" s="180">
        <f>2960000-V38-W38-200000</f>
        <v>1961400</v>
      </c>
      <c r="Y38" s="181">
        <f t="shared" si="19"/>
        <v>2760000</v>
      </c>
      <c r="Z38" s="181">
        <v>100000</v>
      </c>
      <c r="AA38" s="182">
        <f t="shared" si="20"/>
        <v>2860000</v>
      </c>
      <c r="AB38" s="51">
        <f t="shared" si="12"/>
        <v>0.934640522875817</v>
      </c>
      <c r="AC38" s="3"/>
      <c r="AD38" s="3"/>
    </row>
    <row r="39" spans="1:30" ht="15.75" thickBot="1" x14ac:dyDescent="0.3">
      <c r="A39" s="1"/>
      <c r="B39" s="52" t="s">
        <v>74</v>
      </c>
      <c r="C39" s="82" t="s">
        <v>75</v>
      </c>
      <c r="D39" s="83">
        <f>SUM(D35:D38)+SUM(D28:D32)</f>
        <v>35999999.980000004</v>
      </c>
      <c r="E39" s="83">
        <f>SUM(E35:E38)+SUM(E28:E32)</f>
        <v>1372726</v>
      </c>
      <c r="F39" s="83">
        <f>SUM(F35:F38)+SUM(F28:F32)</f>
        <v>25590268.419999994</v>
      </c>
      <c r="G39" s="84">
        <f>SUM(D39:F39)</f>
        <v>62962994.399999999</v>
      </c>
      <c r="H39" s="85">
        <f>SUM(H28:H32)+SUM(H35:H38)</f>
        <v>2457601.34</v>
      </c>
      <c r="I39" s="86">
        <f>SUM(I35:I38)+SUM(I28:I32)</f>
        <v>65420595.740000002</v>
      </c>
      <c r="J39" s="83">
        <f>SUM(J35:J38)+SUM(J28:J32)</f>
        <v>37700000</v>
      </c>
      <c r="K39" s="83">
        <f>SUM(K35:K38)+SUM(K28:K32)</f>
        <v>1130000</v>
      </c>
      <c r="L39" s="83">
        <f>SUM(L35:L38)+SUM(L28:L32)</f>
        <v>27710000</v>
      </c>
      <c r="M39" s="84">
        <f>SUM(J39:L39)</f>
        <v>66540000</v>
      </c>
      <c r="N39" s="85">
        <f>SUM(N28:N32)+SUM(N35:N38)</f>
        <v>2560000</v>
      </c>
      <c r="O39" s="86">
        <f>SUM(O35:O38)+SUM(O28:O32)</f>
        <v>69100000</v>
      </c>
      <c r="P39" s="83">
        <f>SUM(P35:P38)+SUM(P28:P32)</f>
        <v>18843273.124547437</v>
      </c>
      <c r="Q39" s="83">
        <f>SUM(Q35:Q38)+SUM(Q28:Q32)</f>
        <v>342379.38134328404</v>
      </c>
      <c r="R39" s="83">
        <f>SUM(R35:R38)+SUM(R28:R32)</f>
        <v>11285080.734109279</v>
      </c>
      <c r="S39" s="84">
        <f>SUM(P39:R39)</f>
        <v>30470733.239999998</v>
      </c>
      <c r="T39" s="85">
        <f>SUM(T28:T32)+SUM(T35:T38)</f>
        <v>1068497.3900000001</v>
      </c>
      <c r="U39" s="86">
        <f>SUM(U35:U38)+SUM(U28:U32)</f>
        <v>31539230.629999999</v>
      </c>
      <c r="V39" s="83">
        <f>SUM(V35:V38)+SUM(V28:V32)</f>
        <v>42000000</v>
      </c>
      <c r="W39" s="83">
        <f>SUM(W35:W38)+SUM(W28:W32)</f>
        <v>1400000</v>
      </c>
      <c r="X39" s="83">
        <f>SUM(X35:X38)+SUM(X28:X32)</f>
        <v>29100000</v>
      </c>
      <c r="Y39" s="84">
        <f>SUM(V39:X39)</f>
        <v>72500000</v>
      </c>
      <c r="Z39" s="85">
        <f>SUM(Z28:Z32)+SUM(Z35:Z38)</f>
        <v>2800000</v>
      </c>
      <c r="AA39" s="86">
        <f>SUM(AA35:AA38)+SUM(AA28:AA32)</f>
        <v>75300000</v>
      </c>
      <c r="AB39" s="87">
        <f t="shared" si="12"/>
        <v>1.0897250361794502</v>
      </c>
      <c r="AC39" s="3"/>
      <c r="AD39" s="3"/>
    </row>
    <row r="40" spans="1:30" ht="19.5" thickBot="1" x14ac:dyDescent="0.35">
      <c r="A40" s="1"/>
      <c r="B40" s="88" t="s">
        <v>76</v>
      </c>
      <c r="C40" s="89" t="s">
        <v>77</v>
      </c>
      <c r="D40" s="90">
        <f t="shared" ref="D40:AA40" si="24">D24-D39</f>
        <v>1.9999995827674866E-2</v>
      </c>
      <c r="E40" s="90">
        <f t="shared" si="24"/>
        <v>0</v>
      </c>
      <c r="F40" s="90">
        <f t="shared" si="24"/>
        <v>1861800.2400000058</v>
      </c>
      <c r="G40" s="91">
        <f t="shared" si="24"/>
        <v>1861800.2599999979</v>
      </c>
      <c r="H40" s="91">
        <f t="shared" si="24"/>
        <v>643490.62999999989</v>
      </c>
      <c r="I40" s="92">
        <f t="shared" si="24"/>
        <v>2505290.8899999931</v>
      </c>
      <c r="J40" s="90">
        <f t="shared" si="24"/>
        <v>0</v>
      </c>
      <c r="K40" s="90">
        <f t="shared" si="24"/>
        <v>0</v>
      </c>
      <c r="L40" s="90">
        <f t="shared" si="24"/>
        <v>-740000</v>
      </c>
      <c r="M40" s="91">
        <f t="shared" si="24"/>
        <v>-740000</v>
      </c>
      <c r="N40" s="91">
        <f t="shared" si="24"/>
        <v>740000</v>
      </c>
      <c r="O40" s="92">
        <f t="shared" si="24"/>
        <v>0</v>
      </c>
      <c r="P40" s="90">
        <f t="shared" si="24"/>
        <v>6726.8754525631666</v>
      </c>
      <c r="Q40" s="90">
        <f t="shared" si="24"/>
        <v>8.6567159742116928E-3</v>
      </c>
      <c r="R40" s="90">
        <f t="shared" si="24"/>
        <v>11615.875890722498</v>
      </c>
      <c r="S40" s="91">
        <f t="shared" si="24"/>
        <v>18342.760000001639</v>
      </c>
      <c r="T40" s="91">
        <f t="shared" si="24"/>
        <v>867472.04999999981</v>
      </c>
      <c r="U40" s="92">
        <f t="shared" si="24"/>
        <v>885814.81000000238</v>
      </c>
      <c r="V40" s="90">
        <f t="shared" si="24"/>
        <v>0</v>
      </c>
      <c r="W40" s="90">
        <f t="shared" si="24"/>
        <v>0</v>
      </c>
      <c r="X40" s="90">
        <f t="shared" si="24"/>
        <v>-1100000</v>
      </c>
      <c r="Y40" s="91">
        <f t="shared" si="24"/>
        <v>-1100000</v>
      </c>
      <c r="Z40" s="91">
        <f t="shared" si="24"/>
        <v>1100000</v>
      </c>
      <c r="AA40" s="92">
        <f t="shared" si="24"/>
        <v>0</v>
      </c>
      <c r="AB40" s="93" t="e">
        <f t="shared" si="12"/>
        <v>#DIV/0!</v>
      </c>
      <c r="AC40" s="3"/>
      <c r="AD40" s="3"/>
    </row>
    <row r="41" spans="1:30" ht="15.75" thickBot="1" x14ac:dyDescent="0.3">
      <c r="A41" s="1"/>
      <c r="B41" s="94" t="s">
        <v>78</v>
      </c>
      <c r="C41" s="95" t="s">
        <v>79</v>
      </c>
      <c r="D41" s="96"/>
      <c r="E41" s="97"/>
      <c r="F41" s="97"/>
      <c r="G41" s="98"/>
      <c r="H41" s="99"/>
      <c r="I41" s="100">
        <f>I40-D16</f>
        <v>-33494709.110000007</v>
      </c>
      <c r="J41" s="96"/>
      <c r="K41" s="97"/>
      <c r="L41" s="97"/>
      <c r="M41" s="98"/>
      <c r="N41" s="101"/>
      <c r="O41" s="100">
        <f>O40-J16</f>
        <v>-37700000</v>
      </c>
      <c r="P41" s="96"/>
      <c r="Q41" s="97"/>
      <c r="R41" s="97"/>
      <c r="S41" s="98"/>
      <c r="T41" s="101"/>
      <c r="U41" s="100">
        <f>U40-P16</f>
        <v>-17964185.189999998</v>
      </c>
      <c r="V41" s="96"/>
      <c r="W41" s="97"/>
      <c r="X41" s="97"/>
      <c r="Y41" s="98"/>
      <c r="Z41" s="101"/>
      <c r="AA41" s="100">
        <f>AA40-V16</f>
        <v>-42000000</v>
      </c>
      <c r="AB41" s="21">
        <f t="shared" si="12"/>
        <v>1.1140583554376657</v>
      </c>
      <c r="AC41" s="3"/>
      <c r="AD41" s="3"/>
    </row>
    <row r="42" spans="1:30" s="108" customFormat="1" ht="8.25" customHeight="1" thickBot="1" x14ac:dyDescent="0.3">
      <c r="A42" s="102"/>
      <c r="B42" s="103"/>
      <c r="C42" s="104"/>
      <c r="D42" s="105"/>
      <c r="E42" s="106"/>
      <c r="F42" s="106"/>
      <c r="G42" s="102"/>
      <c r="H42" s="106"/>
      <c r="I42" s="106"/>
      <c r="J42" s="105"/>
      <c r="K42" s="106"/>
      <c r="L42" s="106"/>
      <c r="M42" s="102"/>
      <c r="N42" s="106"/>
      <c r="O42" s="106"/>
      <c r="P42" s="106"/>
      <c r="Q42" s="106"/>
      <c r="R42" s="106"/>
      <c r="S42" s="106"/>
      <c r="T42" s="106"/>
      <c r="U42" s="106"/>
      <c r="V42" s="107"/>
      <c r="W42" s="107"/>
      <c r="X42" s="107"/>
      <c r="Y42" s="107"/>
      <c r="Z42" s="107"/>
      <c r="AA42" s="107"/>
      <c r="AB42" s="107"/>
      <c r="AC42" s="107"/>
      <c r="AD42" s="107"/>
    </row>
    <row r="43" spans="1:30" s="108" customFormat="1" ht="15.75" customHeight="1" thickBot="1" x14ac:dyDescent="0.3">
      <c r="A43" s="102"/>
      <c r="B43" s="109"/>
      <c r="C43" s="201" t="s">
        <v>80</v>
      </c>
      <c r="D43" s="110" t="s">
        <v>81</v>
      </c>
      <c r="E43" s="111" t="s">
        <v>82</v>
      </c>
      <c r="F43" s="112" t="s">
        <v>83</v>
      </c>
      <c r="G43" s="106"/>
      <c r="H43" s="106"/>
      <c r="I43" s="113"/>
      <c r="J43" s="110" t="s">
        <v>81</v>
      </c>
      <c r="K43" s="111" t="s">
        <v>82</v>
      </c>
      <c r="L43" s="112" t="s">
        <v>83</v>
      </c>
      <c r="M43" s="106"/>
      <c r="N43" s="106"/>
      <c r="O43" s="106"/>
      <c r="P43" s="110" t="s">
        <v>81</v>
      </c>
      <c r="Q43" s="111" t="s">
        <v>82</v>
      </c>
      <c r="R43" s="112" t="s">
        <v>83</v>
      </c>
      <c r="S43" s="107"/>
      <c r="T43" s="107"/>
      <c r="U43" s="107"/>
      <c r="V43" s="110" t="s">
        <v>81</v>
      </c>
      <c r="W43" s="111" t="s">
        <v>82</v>
      </c>
      <c r="X43" s="112" t="s">
        <v>83</v>
      </c>
      <c r="Y43" s="107"/>
      <c r="Z43" s="107"/>
      <c r="AA43" s="107"/>
      <c r="AB43" s="107"/>
      <c r="AC43" s="107"/>
      <c r="AD43" s="107"/>
    </row>
    <row r="44" spans="1:30" ht="15.75" thickBot="1" x14ac:dyDescent="0.3">
      <c r="A44" s="1"/>
      <c r="B44" s="109"/>
      <c r="C44" s="202"/>
      <c r="D44" s="114">
        <v>0</v>
      </c>
      <c r="E44" s="115">
        <v>0</v>
      </c>
      <c r="F44" s="116">
        <v>0</v>
      </c>
      <c r="G44" s="106"/>
      <c r="H44" s="106"/>
      <c r="I44" s="113"/>
      <c r="J44" s="114">
        <v>0</v>
      </c>
      <c r="K44" s="115">
        <v>0</v>
      </c>
      <c r="L44" s="116">
        <v>0</v>
      </c>
      <c r="M44" s="117"/>
      <c r="N44" s="117"/>
      <c r="O44" s="117"/>
      <c r="P44" s="114">
        <v>0</v>
      </c>
      <c r="Q44" s="115">
        <v>0</v>
      </c>
      <c r="R44" s="116">
        <v>0</v>
      </c>
      <c r="S44" s="3"/>
      <c r="T44" s="3"/>
      <c r="U44" s="3"/>
      <c r="V44" s="114"/>
      <c r="W44" s="115"/>
      <c r="X44" s="116">
        <v>0</v>
      </c>
      <c r="Y44" s="3"/>
      <c r="Z44" s="3"/>
      <c r="AA44" s="3"/>
      <c r="AB44" s="3"/>
      <c r="AC44" s="3"/>
      <c r="AD44" s="3"/>
    </row>
    <row r="45" spans="1:30" s="108" customFormat="1" ht="8.25" customHeight="1" thickBot="1" x14ac:dyDescent="0.3">
      <c r="A45" s="102"/>
      <c r="B45" s="109"/>
      <c r="C45" s="104"/>
      <c r="D45" s="117"/>
      <c r="E45" s="106"/>
      <c r="F45" s="106"/>
      <c r="G45" s="106"/>
      <c r="H45" s="106"/>
      <c r="I45" s="113"/>
      <c r="J45" s="106"/>
      <c r="K45" s="106"/>
      <c r="L45" s="106"/>
      <c r="M45" s="106"/>
      <c r="N45" s="106"/>
      <c r="O45" s="113"/>
      <c r="P45" s="113"/>
      <c r="Q45" s="113"/>
      <c r="R45" s="113"/>
      <c r="S45" s="113"/>
      <c r="T45" s="113"/>
      <c r="U45" s="113"/>
      <c r="V45" s="107"/>
      <c r="W45" s="107"/>
      <c r="X45" s="107"/>
      <c r="Y45" s="107"/>
      <c r="Z45" s="107"/>
      <c r="AA45" s="107"/>
      <c r="AB45" s="107"/>
      <c r="AC45" s="107"/>
      <c r="AD45" s="107"/>
    </row>
    <row r="46" spans="1:30" s="108" customFormat="1" ht="37.5" customHeight="1" thickBot="1" x14ac:dyDescent="0.3">
      <c r="A46" s="102"/>
      <c r="B46" s="109"/>
      <c r="C46" s="201" t="s">
        <v>84</v>
      </c>
      <c r="D46" s="118" t="s">
        <v>85</v>
      </c>
      <c r="E46" s="119" t="s">
        <v>86</v>
      </c>
      <c r="F46" s="106"/>
      <c r="G46" s="106"/>
      <c r="H46" s="106"/>
      <c r="I46" s="113"/>
      <c r="J46" s="118" t="s">
        <v>85</v>
      </c>
      <c r="K46" s="119" t="s">
        <v>86</v>
      </c>
      <c r="L46" s="120"/>
      <c r="M46" s="120"/>
      <c r="N46" s="107"/>
      <c r="O46" s="107"/>
      <c r="P46" s="118" t="s">
        <v>85</v>
      </c>
      <c r="Q46" s="119" t="s">
        <v>86</v>
      </c>
      <c r="R46" s="107"/>
      <c r="S46" s="107"/>
      <c r="T46" s="107"/>
      <c r="U46" s="107"/>
      <c r="V46" s="118" t="s">
        <v>85</v>
      </c>
      <c r="W46" s="119" t="s">
        <v>86</v>
      </c>
      <c r="X46" s="107"/>
      <c r="Y46" s="107"/>
      <c r="Z46" s="107"/>
      <c r="AA46" s="107"/>
      <c r="AB46" s="107"/>
      <c r="AC46" s="107"/>
      <c r="AD46" s="107"/>
    </row>
    <row r="47" spans="1:30" ht="15.75" thickBot="1" x14ac:dyDescent="0.3">
      <c r="A47" s="1"/>
      <c r="B47" s="121"/>
      <c r="C47" s="203"/>
      <c r="D47" s="114">
        <v>6000000</v>
      </c>
      <c r="E47" s="122">
        <v>0</v>
      </c>
      <c r="F47" s="106"/>
      <c r="G47" s="106"/>
      <c r="H47" s="106"/>
      <c r="I47" s="113"/>
      <c r="J47" s="114">
        <v>6000000</v>
      </c>
      <c r="K47" s="122">
        <v>0</v>
      </c>
      <c r="L47" s="123"/>
      <c r="M47" s="123"/>
      <c r="N47" s="3"/>
      <c r="O47" s="3"/>
      <c r="P47" s="114">
        <v>0</v>
      </c>
      <c r="Q47" s="122">
        <v>0</v>
      </c>
      <c r="R47" s="3"/>
      <c r="S47" s="3"/>
      <c r="T47" s="3"/>
      <c r="U47" s="3"/>
      <c r="V47" s="114">
        <v>5000000</v>
      </c>
      <c r="W47" s="122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1"/>
      <c r="B48" s="121"/>
      <c r="C48" s="104"/>
      <c r="D48" s="106"/>
      <c r="E48" s="106"/>
      <c r="F48" s="106"/>
      <c r="G48" s="106"/>
      <c r="H48" s="106"/>
      <c r="I48" s="113"/>
      <c r="J48" s="106"/>
      <c r="K48" s="106"/>
      <c r="L48" s="106"/>
      <c r="M48" s="106"/>
      <c r="N48" s="106"/>
      <c r="O48" s="113"/>
      <c r="P48" s="113"/>
      <c r="Q48" s="113"/>
      <c r="R48" s="113"/>
      <c r="S48" s="113"/>
      <c r="T48" s="113"/>
      <c r="U48" s="113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1"/>
      <c r="B49" s="121"/>
      <c r="C49" s="124" t="s">
        <v>87</v>
      </c>
      <c r="D49" s="125" t="s">
        <v>88</v>
      </c>
      <c r="E49" s="125" t="s">
        <v>89</v>
      </c>
      <c r="F49" s="125" t="s">
        <v>90</v>
      </c>
      <c r="G49" s="125" t="s">
        <v>91</v>
      </c>
      <c r="H49" s="106"/>
      <c r="I49" s="3"/>
      <c r="J49" s="125" t="s">
        <v>88</v>
      </c>
      <c r="K49" s="125" t="s">
        <v>89</v>
      </c>
      <c r="L49" s="125" t="s">
        <v>90</v>
      </c>
      <c r="M49" s="125" t="s">
        <v>92</v>
      </c>
      <c r="N49" s="3"/>
      <c r="O49" s="3"/>
      <c r="P49" s="125" t="s">
        <v>88</v>
      </c>
      <c r="Q49" s="125" t="s">
        <v>89</v>
      </c>
      <c r="R49" s="125" t="s">
        <v>90</v>
      </c>
      <c r="S49" s="183" t="s">
        <v>130</v>
      </c>
      <c r="T49" s="3"/>
      <c r="U49" s="3"/>
      <c r="V49" s="125" t="s">
        <v>93</v>
      </c>
      <c r="W49" s="125" t="s">
        <v>89</v>
      </c>
      <c r="X49" s="125" t="s">
        <v>90</v>
      </c>
      <c r="Y49" s="125" t="s">
        <v>92</v>
      </c>
      <c r="Z49" s="3"/>
      <c r="AA49" s="3"/>
      <c r="AB49" s="3"/>
      <c r="AC49" s="3"/>
      <c r="AD49" s="3"/>
    </row>
    <row r="50" spans="1:30" x14ac:dyDescent="0.25">
      <c r="A50" s="1"/>
      <c r="B50" s="121"/>
      <c r="C50" s="126" t="s">
        <v>118</v>
      </c>
      <c r="D50" s="184">
        <f>SUM(D51:D54)</f>
        <v>12689834.010000002</v>
      </c>
      <c r="E50" s="184">
        <f t="shared" ref="E50:F50" si="25">SUM(E51:E54)</f>
        <v>10409457.33</v>
      </c>
      <c r="F50" s="184">
        <f t="shared" si="25"/>
        <v>5433476.9000000004</v>
      </c>
      <c r="G50" s="129">
        <f>D50+E50-F50</f>
        <v>17665814.440000005</v>
      </c>
      <c r="H50" s="106"/>
      <c r="I50" s="3"/>
      <c r="J50" s="184">
        <f>SUM(J51:J54)</f>
        <v>12950000</v>
      </c>
      <c r="K50" s="184">
        <f t="shared" ref="K50:L50" si="26">SUM(K51:K54)</f>
        <v>8950000</v>
      </c>
      <c r="L50" s="184">
        <f t="shared" si="26"/>
        <v>8950000</v>
      </c>
      <c r="M50" s="129">
        <f>J50+K50-L50</f>
        <v>12950000</v>
      </c>
      <c r="N50" s="3"/>
      <c r="O50" s="3"/>
      <c r="P50" s="184">
        <f>SUM(P51:P54)</f>
        <v>17639679.829999998</v>
      </c>
      <c r="Q50" s="184">
        <f t="shared" ref="Q50:R50" si="27">SUM(Q51:Q54)</f>
        <v>1535817.57</v>
      </c>
      <c r="R50" s="184">
        <f t="shared" si="27"/>
        <v>4404230.3899999997</v>
      </c>
      <c r="S50" s="129">
        <f>P50+Q50-R50</f>
        <v>14771267.009999998</v>
      </c>
      <c r="T50" s="3"/>
      <c r="U50" s="3"/>
      <c r="V50" s="184">
        <f>SUM(V51:V54)</f>
        <v>12996011</v>
      </c>
      <c r="W50" s="184">
        <f t="shared" ref="W50:X50" si="28">SUM(W51:W54)</f>
        <v>12850000</v>
      </c>
      <c r="X50" s="184">
        <f t="shared" si="28"/>
        <v>12900000</v>
      </c>
      <c r="Y50" s="129">
        <f>V50+W50-X50</f>
        <v>12946011</v>
      </c>
      <c r="Z50" s="3"/>
      <c r="AA50" s="3"/>
      <c r="AB50" s="3"/>
      <c r="AC50" s="3"/>
      <c r="AD50" s="3"/>
    </row>
    <row r="51" spans="1:30" x14ac:dyDescent="0.25">
      <c r="A51" s="1"/>
      <c r="B51" s="121"/>
      <c r="C51" s="126" t="s">
        <v>94</v>
      </c>
      <c r="D51" s="130">
        <f>174478.21+27657.61</f>
        <v>202135.82</v>
      </c>
      <c r="E51" s="130">
        <v>218723</v>
      </c>
      <c r="F51" s="130">
        <v>1523</v>
      </c>
      <c r="G51" s="129">
        <f t="shared" ref="G51:G54" si="29">D51+E51-F51</f>
        <v>419335.82</v>
      </c>
      <c r="H51" s="106"/>
      <c r="I51" s="3"/>
      <c r="J51" s="184">
        <v>200000</v>
      </c>
      <c r="K51" s="184">
        <v>0</v>
      </c>
      <c r="L51" s="184">
        <v>0</v>
      </c>
      <c r="M51" s="129">
        <f t="shared" ref="M51:M54" si="30">J51+K51-L51</f>
        <v>200000</v>
      </c>
      <c r="N51" s="3"/>
      <c r="O51" s="3"/>
      <c r="P51" s="130">
        <v>393201.21</v>
      </c>
      <c r="Q51" s="130">
        <v>53606.55</v>
      </c>
      <c r="R51" s="130">
        <v>0</v>
      </c>
      <c r="S51" s="129">
        <f t="shared" ref="S51:S54" si="31">P51+Q51-R51</f>
        <v>446807.76</v>
      </c>
      <c r="T51" s="3"/>
      <c r="U51" s="3"/>
      <c r="V51" s="130">
        <v>400000</v>
      </c>
      <c r="W51" s="130">
        <v>200000</v>
      </c>
      <c r="X51" s="130">
        <v>300000</v>
      </c>
      <c r="Y51" s="129">
        <f t="shared" ref="Y51:Y54" si="32">V51+W51-X51</f>
        <v>300000</v>
      </c>
      <c r="Z51" s="3"/>
      <c r="AA51" s="3"/>
      <c r="AB51" s="3"/>
      <c r="AC51" s="3"/>
      <c r="AD51" s="3"/>
    </row>
    <row r="52" spans="1:30" x14ac:dyDescent="0.25">
      <c r="A52" s="1"/>
      <c r="B52" s="121"/>
      <c r="C52" s="126" t="s">
        <v>95</v>
      </c>
      <c r="D52" s="130">
        <v>11775556.460000001</v>
      </c>
      <c r="E52" s="130">
        <v>9741136.8100000005</v>
      </c>
      <c r="F52" s="130">
        <v>5106366.42</v>
      </c>
      <c r="G52" s="129">
        <f t="shared" si="29"/>
        <v>16410326.850000003</v>
      </c>
      <c r="H52" s="106"/>
      <c r="I52" s="3"/>
      <c r="J52" s="184">
        <v>11800000</v>
      </c>
      <c r="K52" s="184">
        <f>6000000+2550000</f>
        <v>8550000</v>
      </c>
      <c r="L52" s="184">
        <f>+K52</f>
        <v>8550000</v>
      </c>
      <c r="M52" s="129">
        <f t="shared" si="30"/>
        <v>11800000</v>
      </c>
      <c r="N52" s="3"/>
      <c r="O52" s="3"/>
      <c r="P52" s="130">
        <v>16410326.85</v>
      </c>
      <c r="Q52" s="130">
        <f>2550000/2</f>
        <v>1275000</v>
      </c>
      <c r="R52" s="130">
        <v>4187157.3899999997</v>
      </c>
      <c r="S52" s="129">
        <f t="shared" si="31"/>
        <v>13498169.460000001</v>
      </c>
      <c r="T52" s="3"/>
      <c r="U52" s="3"/>
      <c r="V52" s="130">
        <v>11800000</v>
      </c>
      <c r="W52" s="130">
        <f>5000000+7200000</f>
        <v>12200000</v>
      </c>
      <c r="X52" s="130">
        <v>12000000</v>
      </c>
      <c r="Y52" s="129">
        <f t="shared" si="32"/>
        <v>12000000</v>
      </c>
      <c r="Z52" s="3"/>
      <c r="AA52" s="3"/>
      <c r="AB52" s="3"/>
      <c r="AC52" s="3"/>
      <c r="AD52" s="3"/>
    </row>
    <row r="53" spans="1:30" x14ac:dyDescent="0.25">
      <c r="A53" s="1"/>
      <c r="B53" s="121"/>
      <c r="C53" s="126" t="s">
        <v>96</v>
      </c>
      <c r="D53" s="130">
        <v>146011</v>
      </c>
      <c r="E53" s="130">
        <v>0</v>
      </c>
      <c r="F53" s="130">
        <v>0</v>
      </c>
      <c r="G53" s="129">
        <f t="shared" si="29"/>
        <v>146011</v>
      </c>
      <c r="H53" s="106"/>
      <c r="I53" s="3"/>
      <c r="J53" s="184">
        <v>150000</v>
      </c>
      <c r="K53" s="184">
        <v>0</v>
      </c>
      <c r="L53" s="184">
        <v>0</v>
      </c>
      <c r="M53" s="129">
        <f t="shared" si="30"/>
        <v>150000</v>
      </c>
      <c r="N53" s="3"/>
      <c r="O53" s="3"/>
      <c r="P53" s="130">
        <v>146011</v>
      </c>
      <c r="Q53" s="130">
        <v>0</v>
      </c>
      <c r="R53" s="130">
        <v>0</v>
      </c>
      <c r="S53" s="129">
        <f t="shared" si="31"/>
        <v>146011</v>
      </c>
      <c r="T53" s="3"/>
      <c r="U53" s="3"/>
      <c r="V53" s="130">
        <f>+P53</f>
        <v>146011</v>
      </c>
      <c r="W53" s="130">
        <v>0</v>
      </c>
      <c r="X53" s="130">
        <v>0</v>
      </c>
      <c r="Y53" s="129">
        <f t="shared" si="32"/>
        <v>146011</v>
      </c>
      <c r="Z53" s="3"/>
      <c r="AA53" s="3"/>
      <c r="AB53" s="3"/>
      <c r="AC53" s="3"/>
      <c r="AD53" s="3"/>
    </row>
    <row r="54" spans="1:30" x14ac:dyDescent="0.25">
      <c r="A54" s="1"/>
      <c r="B54" s="121"/>
      <c r="C54" s="131" t="s">
        <v>97</v>
      </c>
      <c r="D54" s="130">
        <v>566130.73</v>
      </c>
      <c r="E54" s="130">
        <v>449597.52</v>
      </c>
      <c r="F54" s="130">
        <f>133596+112800+66800+12391.48</f>
        <v>325587.48</v>
      </c>
      <c r="G54" s="129">
        <f t="shared" si="29"/>
        <v>690140.77</v>
      </c>
      <c r="H54" s="106"/>
      <c r="I54" s="3"/>
      <c r="J54" s="184">
        <v>800000</v>
      </c>
      <c r="K54" s="184">
        <v>400000</v>
      </c>
      <c r="L54" s="184">
        <v>400000</v>
      </c>
      <c r="M54" s="129">
        <f t="shared" si="30"/>
        <v>800000</v>
      </c>
      <c r="N54" s="3"/>
      <c r="O54" s="3"/>
      <c r="P54" s="130">
        <v>690140.77</v>
      </c>
      <c r="Q54" s="130">
        <v>207211.02</v>
      </c>
      <c r="R54" s="130">
        <v>217073</v>
      </c>
      <c r="S54" s="129">
        <f t="shared" si="31"/>
        <v>680278.79</v>
      </c>
      <c r="T54" s="3"/>
      <c r="U54" s="3"/>
      <c r="V54" s="130">
        <v>650000</v>
      </c>
      <c r="W54" s="130">
        <v>450000</v>
      </c>
      <c r="X54" s="130">
        <v>600000</v>
      </c>
      <c r="Y54" s="129">
        <f t="shared" si="32"/>
        <v>500000</v>
      </c>
      <c r="Z54" s="3"/>
      <c r="AA54" s="3"/>
      <c r="AB54" s="3"/>
      <c r="AC54" s="3"/>
      <c r="AD54" s="3"/>
    </row>
    <row r="55" spans="1:30" ht="10.5" customHeight="1" x14ac:dyDescent="0.25">
      <c r="A55" s="1"/>
      <c r="B55" s="121"/>
      <c r="C55" s="104"/>
      <c r="D55" s="106"/>
      <c r="E55" s="106"/>
      <c r="F55" s="106"/>
      <c r="G55" s="106"/>
      <c r="H55" s="106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1"/>
      <c r="B56" s="121"/>
      <c r="C56" s="124" t="s">
        <v>98</v>
      </c>
      <c r="D56" s="125" t="s">
        <v>99</v>
      </c>
      <c r="E56" s="125" t="s">
        <v>100</v>
      </c>
      <c r="F56" s="106"/>
      <c r="G56" s="106"/>
      <c r="H56" s="106"/>
      <c r="I56" s="113"/>
      <c r="J56" s="125" t="s">
        <v>101</v>
      </c>
      <c r="K56" s="106"/>
      <c r="L56" s="106"/>
      <c r="M56" s="106"/>
      <c r="N56" s="106"/>
      <c r="O56" s="113"/>
      <c r="P56" s="125" t="s">
        <v>102</v>
      </c>
      <c r="Q56" s="113"/>
      <c r="R56" s="113"/>
      <c r="S56" s="113"/>
      <c r="T56" s="113"/>
      <c r="U56" s="113"/>
      <c r="V56" s="125" t="s">
        <v>101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1"/>
      <c r="B57" s="121"/>
      <c r="C57" s="126"/>
      <c r="D57" s="132">
        <v>79</v>
      </c>
      <c r="E57" s="132">
        <v>66</v>
      </c>
      <c r="F57" s="106"/>
      <c r="G57" s="106"/>
      <c r="H57" s="106"/>
      <c r="I57" s="113"/>
      <c r="J57" s="132">
        <v>86</v>
      </c>
      <c r="K57" s="106"/>
      <c r="L57" s="106"/>
      <c r="M57" s="106"/>
      <c r="N57" s="106"/>
      <c r="O57" s="113"/>
      <c r="P57" s="132">
        <v>68.099999999999994</v>
      </c>
      <c r="Q57" s="113"/>
      <c r="R57" s="113"/>
      <c r="S57" s="113"/>
      <c r="T57" s="113"/>
      <c r="U57" s="113"/>
      <c r="V57" s="132">
        <v>81</v>
      </c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1"/>
      <c r="B58" s="121"/>
      <c r="C58" s="104"/>
      <c r="D58" s="106"/>
      <c r="E58" s="106"/>
      <c r="F58" s="106"/>
      <c r="G58" s="106"/>
      <c r="H58" s="106"/>
      <c r="I58" s="113"/>
      <c r="J58" s="106"/>
      <c r="K58" s="106"/>
      <c r="L58" s="106"/>
      <c r="M58" s="106"/>
      <c r="N58" s="106"/>
      <c r="O58" s="113"/>
      <c r="P58" s="113"/>
      <c r="Q58" s="113"/>
      <c r="R58" s="113"/>
      <c r="S58" s="113"/>
      <c r="T58" s="113"/>
      <c r="U58" s="113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1"/>
      <c r="B59" s="133" t="s">
        <v>103</v>
      </c>
      <c r="C59" s="134"/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204"/>
      <c r="P59" s="204"/>
      <c r="Q59" s="204"/>
      <c r="R59" s="204"/>
      <c r="S59" s="204"/>
      <c r="T59" s="204"/>
      <c r="U59" s="204"/>
      <c r="V59" s="135"/>
      <c r="W59" s="135"/>
      <c r="X59" s="135"/>
      <c r="Y59" s="135"/>
      <c r="Z59" s="135"/>
      <c r="AA59" s="135"/>
      <c r="AB59" s="136"/>
      <c r="AC59" s="3"/>
      <c r="AD59" s="3"/>
    </row>
    <row r="60" spans="1:30" x14ac:dyDescent="0.25">
      <c r="A60" s="1"/>
      <c r="B60" s="137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38"/>
      <c r="AC60" s="3"/>
      <c r="AD60" s="3"/>
    </row>
    <row r="61" spans="1:30" x14ac:dyDescent="0.25">
      <c r="A61" s="1"/>
      <c r="B61" s="186" t="s">
        <v>131</v>
      </c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08"/>
      <c r="W61" s="108"/>
      <c r="X61" s="108"/>
      <c r="Y61" s="108"/>
      <c r="Z61" s="108"/>
      <c r="AA61" s="108"/>
      <c r="AB61" s="138"/>
      <c r="AC61" s="3"/>
      <c r="AD61" s="3"/>
    </row>
    <row r="62" spans="1:30" x14ac:dyDescent="0.25">
      <c r="A62" s="1"/>
      <c r="B62" s="186" t="s">
        <v>132</v>
      </c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08"/>
      <c r="W62" s="108"/>
      <c r="X62" s="108"/>
      <c r="Y62" s="108"/>
      <c r="Z62" s="108"/>
      <c r="AA62" s="108"/>
      <c r="AB62" s="138"/>
      <c r="AC62" s="3"/>
      <c r="AD62" s="3"/>
    </row>
    <row r="63" spans="1:30" x14ac:dyDescent="0.25">
      <c r="A63" s="1"/>
      <c r="B63" s="186" t="s">
        <v>133</v>
      </c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  <c r="U63" s="187"/>
      <c r="V63" s="108"/>
      <c r="W63" s="108"/>
      <c r="X63" s="108"/>
      <c r="Y63" s="108"/>
      <c r="Z63" s="108"/>
      <c r="AA63" s="108"/>
      <c r="AB63" s="138"/>
      <c r="AC63" s="3"/>
      <c r="AD63" s="3"/>
    </row>
    <row r="64" spans="1:30" x14ac:dyDescent="0.25">
      <c r="A64" s="1"/>
      <c r="B64" s="139" t="s">
        <v>134</v>
      </c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08"/>
      <c r="W64" s="108"/>
      <c r="X64" s="108"/>
      <c r="Y64" s="108"/>
      <c r="Z64" s="108"/>
      <c r="AA64" s="108"/>
      <c r="AB64" s="138"/>
      <c r="AC64" s="3"/>
      <c r="AD64" s="3"/>
    </row>
    <row r="65" spans="1:30" x14ac:dyDescent="0.25">
      <c r="A65" s="1"/>
      <c r="B65" s="139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08"/>
      <c r="W65" s="108"/>
      <c r="X65" s="108"/>
      <c r="Y65" s="108"/>
      <c r="Z65" s="108"/>
      <c r="AA65" s="108"/>
      <c r="AB65" s="138"/>
      <c r="AC65" s="3"/>
      <c r="AD65" s="3"/>
    </row>
    <row r="66" spans="1:30" x14ac:dyDescent="0.25">
      <c r="A66" s="1"/>
      <c r="B66" s="139" t="s">
        <v>135</v>
      </c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08"/>
      <c r="W66" s="108"/>
      <c r="X66" s="108"/>
      <c r="Y66" s="108"/>
      <c r="Z66" s="108"/>
      <c r="AA66" s="108"/>
      <c r="AB66" s="138"/>
      <c r="AC66" s="3"/>
      <c r="AD66" s="3"/>
    </row>
    <row r="67" spans="1:30" x14ac:dyDescent="0.25">
      <c r="A67" s="1"/>
      <c r="B67" s="139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08"/>
      <c r="W67" s="108"/>
      <c r="X67" s="108"/>
      <c r="Y67" s="108"/>
      <c r="Z67" s="108"/>
      <c r="AA67" s="108"/>
      <c r="AB67" s="138"/>
      <c r="AC67" s="3"/>
      <c r="AD67" s="3"/>
    </row>
    <row r="68" spans="1:30" x14ac:dyDescent="0.25">
      <c r="A68" s="1"/>
      <c r="B68" s="139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08"/>
      <c r="W68" s="108"/>
      <c r="X68" s="108"/>
      <c r="Y68" s="108"/>
      <c r="Z68" s="108"/>
      <c r="AA68" s="108"/>
      <c r="AB68" s="138"/>
      <c r="AC68" s="3"/>
      <c r="AD68" s="3"/>
    </row>
    <row r="69" spans="1:30" x14ac:dyDescent="0.25">
      <c r="A69" s="1"/>
      <c r="B69" s="139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08"/>
      <c r="W69" s="108"/>
      <c r="X69" s="108"/>
      <c r="Y69" s="108"/>
      <c r="Z69" s="108"/>
      <c r="AA69" s="108"/>
      <c r="AB69" s="138"/>
      <c r="AC69" s="3"/>
      <c r="AD69" s="3"/>
    </row>
    <row r="70" spans="1:30" x14ac:dyDescent="0.25">
      <c r="A70" s="1"/>
      <c r="B70" s="139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08"/>
      <c r="W70" s="108"/>
      <c r="X70" s="108"/>
      <c r="Y70" s="108"/>
      <c r="Z70" s="108"/>
      <c r="AA70" s="108"/>
      <c r="AB70" s="138"/>
      <c r="AC70" s="3"/>
      <c r="AD70" s="3"/>
    </row>
    <row r="71" spans="1:30" x14ac:dyDescent="0.25">
      <c r="A71" s="1"/>
      <c r="B71" s="139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08"/>
      <c r="W71" s="108"/>
      <c r="X71" s="108"/>
      <c r="Y71" s="108"/>
      <c r="Z71" s="108"/>
      <c r="AA71" s="108"/>
      <c r="AB71" s="138"/>
      <c r="AC71" s="3"/>
      <c r="AD71" s="3"/>
    </row>
    <row r="72" spans="1:30" x14ac:dyDescent="0.25">
      <c r="A72" s="1"/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08"/>
      <c r="W72" s="108"/>
      <c r="X72" s="108"/>
      <c r="Y72" s="108"/>
      <c r="Z72" s="108"/>
      <c r="AA72" s="108"/>
      <c r="AB72" s="138"/>
      <c r="AC72" s="3"/>
      <c r="AD72" s="3"/>
    </row>
    <row r="73" spans="1:30" x14ac:dyDescent="0.25">
      <c r="A73" s="1"/>
      <c r="B73" s="139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08"/>
      <c r="W73" s="108"/>
      <c r="X73" s="108"/>
      <c r="Y73" s="108"/>
      <c r="Z73" s="108"/>
      <c r="AA73" s="108"/>
      <c r="AB73" s="138"/>
      <c r="AC73" s="3"/>
      <c r="AD73" s="3"/>
    </row>
    <row r="74" spans="1:30" x14ac:dyDescent="0.25">
      <c r="A74" s="1"/>
      <c r="B74" s="139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08"/>
      <c r="W74" s="108"/>
      <c r="X74" s="108"/>
      <c r="Y74" s="108"/>
      <c r="Z74" s="108"/>
      <c r="AA74" s="108"/>
      <c r="AB74" s="138"/>
      <c r="AC74" s="3"/>
      <c r="AD74" s="3"/>
    </row>
    <row r="75" spans="1:30" x14ac:dyDescent="0.25">
      <c r="A75" s="1"/>
      <c r="B75" s="139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08"/>
      <c r="W75" s="108"/>
      <c r="X75" s="108"/>
      <c r="Y75" s="108"/>
      <c r="Z75" s="108"/>
      <c r="AA75" s="108"/>
      <c r="AB75" s="138"/>
      <c r="AC75" s="3"/>
      <c r="AD75" s="3"/>
    </row>
    <row r="76" spans="1:30" x14ac:dyDescent="0.25">
      <c r="A76" s="1"/>
      <c r="B76" s="139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08"/>
      <c r="W76" s="108"/>
      <c r="X76" s="108"/>
      <c r="Y76" s="108"/>
      <c r="Z76" s="108"/>
      <c r="AA76" s="108"/>
      <c r="AB76" s="138"/>
      <c r="AC76" s="3"/>
      <c r="AD76" s="3"/>
    </row>
    <row r="77" spans="1:30" x14ac:dyDescent="0.25">
      <c r="A77" s="1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08"/>
      <c r="W77" s="108"/>
      <c r="X77" s="108"/>
      <c r="Y77" s="108"/>
      <c r="Z77" s="108"/>
      <c r="AA77" s="108"/>
      <c r="AB77" s="138"/>
      <c r="AC77" s="3"/>
      <c r="AD77" s="3"/>
    </row>
    <row r="78" spans="1:30" x14ac:dyDescent="0.25">
      <c r="A78" s="1"/>
      <c r="B78" s="139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08"/>
      <c r="W78" s="108"/>
      <c r="X78" s="108"/>
      <c r="Y78" s="108"/>
      <c r="Z78" s="108"/>
      <c r="AA78" s="108"/>
      <c r="AB78" s="138"/>
      <c r="AC78" s="3"/>
      <c r="AD78" s="3"/>
    </row>
    <row r="79" spans="1:30" x14ac:dyDescent="0.25">
      <c r="A79" s="1"/>
      <c r="B79" s="139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08"/>
      <c r="W79" s="108"/>
      <c r="X79" s="108"/>
      <c r="Y79" s="108"/>
      <c r="Z79" s="108"/>
      <c r="AA79" s="108"/>
      <c r="AB79" s="138"/>
      <c r="AC79" s="3"/>
      <c r="AD79" s="3"/>
    </row>
    <row r="80" spans="1:30" x14ac:dyDescent="0.25">
      <c r="A80" s="1"/>
      <c r="B80" s="139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08"/>
      <c r="W80" s="108"/>
      <c r="X80" s="108"/>
      <c r="Y80" s="108"/>
      <c r="Z80" s="108"/>
      <c r="AA80" s="108"/>
      <c r="AB80" s="138"/>
      <c r="AC80" s="3"/>
      <c r="AD80" s="3"/>
    </row>
    <row r="81" spans="1:30" x14ac:dyDescent="0.25">
      <c r="A81" s="1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08"/>
      <c r="W81" s="108"/>
      <c r="X81" s="108"/>
      <c r="Y81" s="108"/>
      <c r="Z81" s="108"/>
      <c r="AA81" s="108"/>
      <c r="AB81" s="138"/>
      <c r="AC81" s="3"/>
      <c r="AD81" s="3"/>
    </row>
    <row r="82" spans="1:30" x14ac:dyDescent="0.25">
      <c r="A82" s="1"/>
      <c r="B82" s="186"/>
      <c r="C82" s="187"/>
      <c r="D82" s="187"/>
      <c r="E82" s="187"/>
      <c r="F82" s="187"/>
      <c r="G82" s="187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  <c r="T82" s="187"/>
      <c r="U82" s="187"/>
      <c r="V82" s="108"/>
      <c r="W82" s="108"/>
      <c r="X82" s="108"/>
      <c r="Y82" s="108"/>
      <c r="Z82" s="108"/>
      <c r="AA82" s="108"/>
      <c r="AB82" s="138"/>
      <c r="AC82" s="3"/>
      <c r="AD82" s="3"/>
    </row>
    <row r="83" spans="1:30" x14ac:dyDescent="0.25">
      <c r="A83" s="1"/>
      <c r="B83" s="141"/>
      <c r="C83" s="142"/>
      <c r="D83" s="142"/>
      <c r="E83" s="142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08"/>
      <c r="W83" s="108"/>
      <c r="X83" s="108"/>
      <c r="Y83" s="108"/>
      <c r="Z83" s="108"/>
      <c r="AA83" s="108"/>
      <c r="AB83" s="138"/>
      <c r="AC83" s="3"/>
      <c r="AD83" s="3"/>
    </row>
    <row r="84" spans="1:30" x14ac:dyDescent="0.25">
      <c r="A84" s="1"/>
      <c r="B84" s="143"/>
      <c r="C84" s="144"/>
      <c r="D84" s="145"/>
      <c r="E84" s="145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08"/>
      <c r="W84" s="108"/>
      <c r="X84" s="108"/>
      <c r="Y84" s="108"/>
      <c r="Z84" s="108"/>
      <c r="AA84" s="108"/>
      <c r="AB84" s="138"/>
      <c r="AC84" s="3"/>
      <c r="AD84" s="3"/>
    </row>
    <row r="85" spans="1:30" x14ac:dyDescent="0.25">
      <c r="A85" s="1"/>
      <c r="B85" s="141"/>
      <c r="C85" s="146"/>
      <c r="D85" s="145"/>
      <c r="E85" s="145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08"/>
      <c r="W85" s="108"/>
      <c r="X85" s="108"/>
      <c r="Y85" s="108"/>
      <c r="Z85" s="108"/>
      <c r="AA85" s="108"/>
      <c r="AB85" s="138"/>
      <c r="AC85" s="3"/>
      <c r="AD85" s="3"/>
    </row>
    <row r="86" spans="1:30" x14ac:dyDescent="0.25">
      <c r="A86" s="1"/>
      <c r="B86" s="141"/>
      <c r="C86" s="146"/>
      <c r="D86" s="145"/>
      <c r="E86" s="145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08"/>
      <c r="W86" s="108"/>
      <c r="X86" s="108"/>
      <c r="Y86" s="108"/>
      <c r="Z86" s="108"/>
      <c r="AA86" s="108"/>
      <c r="AB86" s="138"/>
      <c r="AC86" s="3"/>
      <c r="AD86" s="3"/>
    </row>
    <row r="87" spans="1:30" x14ac:dyDescent="0.25">
      <c r="A87" s="1"/>
      <c r="B87" s="147"/>
      <c r="C87" s="148"/>
      <c r="D87" s="149"/>
      <c r="E87" s="149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1"/>
      <c r="W87" s="151"/>
      <c r="X87" s="151"/>
      <c r="Y87" s="151"/>
      <c r="Z87" s="151"/>
      <c r="AA87" s="151"/>
      <c r="AB87" s="152"/>
      <c r="AC87" s="3"/>
      <c r="AD87" s="3"/>
    </row>
    <row r="88" spans="1:30" x14ac:dyDescent="0.25">
      <c r="A88" s="102"/>
      <c r="B88" s="153"/>
      <c r="C88" s="154"/>
      <c r="D88" s="153"/>
      <c r="E88" s="153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102"/>
      <c r="B89" s="153"/>
      <c r="C89" s="154"/>
      <c r="D89" s="153"/>
      <c r="E89" s="153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1"/>
      <c r="B90" s="156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1"/>
      <c r="B91" s="156" t="s">
        <v>105</v>
      </c>
      <c r="C91" s="157">
        <v>43746</v>
      </c>
      <c r="D91" s="156" t="s">
        <v>106</v>
      </c>
      <c r="E91" s="187" t="s">
        <v>136</v>
      </c>
      <c r="F91" s="187"/>
      <c r="G91" s="187"/>
      <c r="H91" s="156"/>
      <c r="I91" s="156" t="s">
        <v>108</v>
      </c>
      <c r="J91" s="188" t="s">
        <v>137</v>
      </c>
      <c r="K91" s="188"/>
      <c r="L91" s="188"/>
      <c r="M91" s="188"/>
      <c r="N91" s="156"/>
      <c r="O91" s="156"/>
      <c r="P91" s="156"/>
      <c r="Q91" s="156"/>
      <c r="R91" s="156"/>
      <c r="S91" s="156"/>
      <c r="T91" s="156"/>
      <c r="U91" s="156"/>
      <c r="V91" s="3"/>
      <c r="W91" s="3"/>
      <c r="X91" s="3"/>
      <c r="Y91" s="3"/>
      <c r="Z91" s="3"/>
      <c r="AA91" s="3"/>
      <c r="AB91" s="3"/>
      <c r="AC91" s="3"/>
      <c r="AD91" s="3"/>
    </row>
    <row r="92" spans="1:30" ht="7.5" customHeight="1" x14ac:dyDescent="0.25">
      <c r="A92" s="1"/>
      <c r="B92" s="156"/>
      <c r="C92" s="156"/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1"/>
      <c r="B93" s="156"/>
      <c r="C93" s="156"/>
      <c r="D93" s="156" t="s">
        <v>109</v>
      </c>
      <c r="E93" s="158"/>
      <c r="F93" s="158"/>
      <c r="G93" s="158"/>
      <c r="H93" s="156"/>
      <c r="I93" s="156" t="s">
        <v>109</v>
      </c>
      <c r="J93" s="159"/>
      <c r="K93" s="159"/>
      <c r="L93" s="159"/>
      <c r="M93" s="159"/>
      <c r="N93" s="156"/>
      <c r="O93" s="156"/>
      <c r="P93" s="156"/>
      <c r="Q93" s="156"/>
      <c r="R93" s="156"/>
      <c r="S93" s="156"/>
      <c r="T93" s="156"/>
      <c r="U93" s="156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1"/>
      <c r="B94" s="156"/>
      <c r="C94" s="156"/>
      <c r="D94" s="156"/>
      <c r="E94" s="158"/>
      <c r="F94" s="158"/>
      <c r="G94" s="158"/>
      <c r="H94" s="156"/>
      <c r="I94" s="156"/>
      <c r="J94" s="159"/>
      <c r="K94" s="159"/>
      <c r="L94" s="159"/>
      <c r="M94" s="159"/>
      <c r="N94" s="156"/>
      <c r="O94" s="156"/>
      <c r="P94" s="156"/>
      <c r="Q94" s="156"/>
      <c r="R94" s="156"/>
      <c r="S94" s="156"/>
      <c r="T94" s="156"/>
      <c r="U94" s="156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1"/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1"/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3"/>
      <c r="W96" s="3"/>
      <c r="X96" s="3"/>
      <c r="Y96" s="3"/>
      <c r="Z96" s="3"/>
      <c r="AA96" s="3"/>
      <c r="AB96" s="3"/>
      <c r="AC96" s="3"/>
      <c r="AD96" s="3"/>
    </row>
    <row r="97" spans="29:30" hidden="1" x14ac:dyDescent="0.25">
      <c r="AC97" s="4"/>
      <c r="AD97" s="4"/>
    </row>
    <row r="98" spans="29:30" hidden="1" x14ac:dyDescent="0.25"/>
    <row r="99" spans="29:30" hidden="1" x14ac:dyDescent="0.25"/>
    <row r="100" spans="29:30" hidden="1" x14ac:dyDescent="0.25"/>
    <row r="101" spans="29:30" hidden="1" x14ac:dyDescent="0.25"/>
    <row r="102" spans="29:30" hidden="1" x14ac:dyDescent="0.25"/>
    <row r="103" spans="29:30" hidden="1" x14ac:dyDescent="0.25"/>
    <row r="104" spans="29:30" hidden="1" x14ac:dyDescent="0.25"/>
    <row r="105" spans="29:30" hidden="1" x14ac:dyDescent="0.25"/>
    <row r="106" spans="29:30" hidden="1" x14ac:dyDescent="0.25"/>
    <row r="107" spans="29:30" hidden="1" x14ac:dyDescent="0.25"/>
    <row r="108" spans="29:30" hidden="1" x14ac:dyDescent="0.25"/>
    <row r="109" spans="29:30" hidden="1" x14ac:dyDescent="0.25"/>
    <row r="110" spans="29:30" hidden="1" x14ac:dyDescent="0.25"/>
    <row r="111" spans="29:30" hidden="1" x14ac:dyDescent="0.25"/>
    <row r="112" spans="29:30" hidden="1" x14ac:dyDescent="0.25"/>
    <row r="113" ht="1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5" hidden="1" customHeight="1" x14ac:dyDescent="0.25"/>
    <row r="128" ht="1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</sheetData>
  <mergeCells count="65">
    <mergeCell ref="D4:U4"/>
    <mergeCell ref="D8:V8"/>
    <mergeCell ref="B10:B13"/>
    <mergeCell ref="C10:C13"/>
    <mergeCell ref="D10:I10"/>
    <mergeCell ref="J10:O10"/>
    <mergeCell ref="P10:U10"/>
    <mergeCell ref="V10:AA10"/>
    <mergeCell ref="G13:G14"/>
    <mergeCell ref="H13:H14"/>
    <mergeCell ref="P13:R13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D13:F13"/>
    <mergeCell ref="AA13:AA14"/>
    <mergeCell ref="AB25:AB27"/>
    <mergeCell ref="J26:L26"/>
    <mergeCell ref="M26:M27"/>
    <mergeCell ref="N26:N27"/>
    <mergeCell ref="O26:O27"/>
    <mergeCell ref="Z26:Z27"/>
    <mergeCell ref="AA26:AA27"/>
    <mergeCell ref="V26:X26"/>
    <mergeCell ref="Y26:Y27"/>
    <mergeCell ref="D25:I25"/>
    <mergeCell ref="J25:O25"/>
    <mergeCell ref="P25:U25"/>
    <mergeCell ref="V25:AA25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B61:U61"/>
    <mergeCell ref="P26:R26"/>
    <mergeCell ref="S26:S27"/>
    <mergeCell ref="T26:T27"/>
    <mergeCell ref="U26:U27"/>
    <mergeCell ref="B26:B27"/>
    <mergeCell ref="C26:C27"/>
    <mergeCell ref="D26:F26"/>
    <mergeCell ref="G26:G27"/>
    <mergeCell ref="H26:H27"/>
    <mergeCell ref="I26:I27"/>
    <mergeCell ref="C43:C44"/>
    <mergeCell ref="C46:C47"/>
    <mergeCell ref="D59:U59"/>
    <mergeCell ref="B62:U62"/>
    <mergeCell ref="B63:U63"/>
    <mergeCell ref="B82:U82"/>
    <mergeCell ref="E91:G91"/>
    <mergeCell ref="J91:M91"/>
  </mergeCells>
  <conditionalFormatting sqref="AB15:AB25">
    <cfRule type="cellIs" dxfId="7" priority="3" operator="equal">
      <formula>0</formula>
    </cfRule>
    <cfRule type="containsErrors" dxfId="6" priority="4">
      <formula>ISERROR(AB15)</formula>
    </cfRule>
  </conditionalFormatting>
  <conditionalFormatting sqref="AB28:AB41">
    <cfRule type="cellIs" dxfId="5" priority="1" operator="equal">
      <formula>0</formula>
    </cfRule>
    <cfRule type="containsErrors" dxfId="4" priority="2">
      <formula>ISERROR(AB28)</formula>
    </cfRule>
  </conditionalFormatting>
  <pageMargins left="0.31496062992125984" right="0.31496062992125984" top="0.39370078740157483" bottom="0.39370078740157483" header="0.11811023622047245" footer="0.11811023622047245"/>
  <pageSetup paperSize="8" scale="2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276"/>
  <sheetViews>
    <sheetView showGridLines="0" zoomScale="80" zoomScaleNormal="80" zoomScaleSheetLayoutView="80" workbookViewId="0">
      <selection activeCell="D3" sqref="D3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9" width="15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60" bestFit="1" customWidth="1"/>
    <col min="14" max="14" width="13.28515625" customWidth="1"/>
    <col min="15" max="15" width="15" customWidth="1"/>
    <col min="16" max="18" width="16.42578125" customWidth="1"/>
    <col min="19" max="19" width="21.140625" customWidth="1"/>
    <col min="20" max="20" width="12.42578125" customWidth="1"/>
    <col min="21" max="21" width="16.140625" customWidth="1"/>
    <col min="22" max="22" width="16.140625" bestFit="1" customWidth="1"/>
    <col min="23" max="23" width="14.140625" bestFit="1" customWidth="1"/>
    <col min="24" max="24" width="15.28515625" customWidth="1"/>
    <col min="25" max="25" width="21.85546875" customWidth="1"/>
    <col min="26" max="26" width="14.7109375" customWidth="1"/>
    <col min="27" max="27" width="15.28515625" customWidth="1"/>
    <col min="28" max="28" width="17.7109375" customWidth="1"/>
    <col min="29" max="29" width="5.85546875" customWidth="1"/>
    <col min="30" max="30" width="0" hidden="1" customWidth="1"/>
    <col min="31" max="16384" width="9.140625" style="4" hidden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1"/>
      <c r="B2" s="5" t="s">
        <v>0</v>
      </c>
      <c r="C2" s="1"/>
      <c r="D2" s="185" t="s">
        <v>143</v>
      </c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1"/>
      <c r="B4" s="1" t="s">
        <v>1</v>
      </c>
      <c r="C4" s="1"/>
      <c r="D4" s="232" t="s">
        <v>138</v>
      </c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1"/>
      <c r="B6" s="1" t="s">
        <v>3</v>
      </c>
      <c r="C6" s="1"/>
      <c r="D6" s="161">
        <v>79065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1"/>
      <c r="B7" s="1"/>
      <c r="C7" s="1"/>
      <c r="D7" s="7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1"/>
      <c r="B8" s="1" t="s">
        <v>4</v>
      </c>
      <c r="C8" s="1"/>
      <c r="D8" s="233" t="s">
        <v>139</v>
      </c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1"/>
      <c r="B10" s="234" t="s">
        <v>6</v>
      </c>
      <c r="C10" s="199" t="s">
        <v>7</v>
      </c>
      <c r="D10" s="220" t="s">
        <v>8</v>
      </c>
      <c r="E10" s="221"/>
      <c r="F10" s="221"/>
      <c r="G10" s="221"/>
      <c r="H10" s="221"/>
      <c r="I10" s="222"/>
      <c r="J10" s="220" t="s">
        <v>9</v>
      </c>
      <c r="K10" s="221"/>
      <c r="L10" s="221"/>
      <c r="M10" s="221"/>
      <c r="N10" s="221"/>
      <c r="O10" s="222"/>
      <c r="P10" s="220" t="s">
        <v>10</v>
      </c>
      <c r="Q10" s="221"/>
      <c r="R10" s="221"/>
      <c r="S10" s="221"/>
      <c r="T10" s="221"/>
      <c r="U10" s="222"/>
      <c r="V10" s="220" t="s">
        <v>11</v>
      </c>
      <c r="W10" s="221"/>
      <c r="X10" s="221"/>
      <c r="Y10" s="221"/>
      <c r="Z10" s="221"/>
      <c r="AA10" s="222"/>
      <c r="AB10" s="223" t="s">
        <v>12</v>
      </c>
      <c r="AC10" s="3"/>
      <c r="AD10" s="3"/>
    </row>
    <row r="11" spans="1:30" ht="30.75" customHeight="1" thickBot="1" x14ac:dyDescent="0.3">
      <c r="A11" s="1"/>
      <c r="B11" s="235"/>
      <c r="C11" s="200"/>
      <c r="D11" s="226" t="s">
        <v>13</v>
      </c>
      <c r="E11" s="227"/>
      <c r="F11" s="227"/>
      <c r="G11" s="228"/>
      <c r="H11" s="8" t="s">
        <v>14</v>
      </c>
      <c r="I11" s="8" t="s">
        <v>15</v>
      </c>
      <c r="J11" s="226" t="s">
        <v>13</v>
      </c>
      <c r="K11" s="227"/>
      <c r="L11" s="227"/>
      <c r="M11" s="228"/>
      <c r="N11" s="8" t="s">
        <v>14</v>
      </c>
      <c r="O11" s="8" t="s">
        <v>15</v>
      </c>
      <c r="P11" s="226" t="s">
        <v>13</v>
      </c>
      <c r="Q11" s="227"/>
      <c r="R11" s="227"/>
      <c r="S11" s="228"/>
      <c r="T11" s="8" t="s">
        <v>14</v>
      </c>
      <c r="U11" s="8" t="s">
        <v>15</v>
      </c>
      <c r="V11" s="226" t="s">
        <v>13</v>
      </c>
      <c r="W11" s="227"/>
      <c r="X11" s="227"/>
      <c r="Y11" s="228"/>
      <c r="Z11" s="8" t="s">
        <v>14</v>
      </c>
      <c r="AA11" s="8" t="s">
        <v>15</v>
      </c>
      <c r="AB11" s="224"/>
      <c r="AC11" s="3"/>
      <c r="AD11" s="3"/>
    </row>
    <row r="12" spans="1:30" ht="15.75" customHeight="1" thickBot="1" x14ac:dyDescent="0.3">
      <c r="A12" s="1"/>
      <c r="B12" s="235"/>
      <c r="C12" s="237"/>
      <c r="D12" s="229" t="s">
        <v>16</v>
      </c>
      <c r="E12" s="230"/>
      <c r="F12" s="230"/>
      <c r="G12" s="230"/>
      <c r="H12" s="230"/>
      <c r="I12" s="231"/>
      <c r="J12" s="229" t="s">
        <v>16</v>
      </c>
      <c r="K12" s="230"/>
      <c r="L12" s="230"/>
      <c r="M12" s="230"/>
      <c r="N12" s="230"/>
      <c r="O12" s="231"/>
      <c r="P12" s="229" t="s">
        <v>16</v>
      </c>
      <c r="Q12" s="230"/>
      <c r="R12" s="230"/>
      <c r="S12" s="230"/>
      <c r="T12" s="230"/>
      <c r="U12" s="231"/>
      <c r="V12" s="229" t="s">
        <v>16</v>
      </c>
      <c r="W12" s="230"/>
      <c r="X12" s="230"/>
      <c r="Y12" s="230"/>
      <c r="Z12" s="230"/>
      <c r="AA12" s="231"/>
      <c r="AB12" s="224"/>
      <c r="AC12" s="3"/>
      <c r="AD12" s="3"/>
    </row>
    <row r="13" spans="1:30" ht="15.75" customHeight="1" thickBot="1" x14ac:dyDescent="0.3">
      <c r="A13" s="1"/>
      <c r="B13" s="236"/>
      <c r="C13" s="238"/>
      <c r="D13" s="215" t="s">
        <v>17</v>
      </c>
      <c r="E13" s="216"/>
      <c r="F13" s="216"/>
      <c r="G13" s="209" t="s">
        <v>18</v>
      </c>
      <c r="H13" s="211" t="s">
        <v>19</v>
      </c>
      <c r="I13" s="213" t="s">
        <v>16</v>
      </c>
      <c r="J13" s="215" t="s">
        <v>17</v>
      </c>
      <c r="K13" s="216"/>
      <c r="L13" s="216"/>
      <c r="M13" s="209" t="s">
        <v>18</v>
      </c>
      <c r="N13" s="211" t="s">
        <v>19</v>
      </c>
      <c r="O13" s="213" t="s">
        <v>16</v>
      </c>
      <c r="P13" s="215" t="s">
        <v>17</v>
      </c>
      <c r="Q13" s="216"/>
      <c r="R13" s="216"/>
      <c r="S13" s="209" t="s">
        <v>18</v>
      </c>
      <c r="T13" s="211" t="s">
        <v>19</v>
      </c>
      <c r="U13" s="213" t="s">
        <v>16</v>
      </c>
      <c r="V13" s="215" t="s">
        <v>17</v>
      </c>
      <c r="W13" s="216"/>
      <c r="X13" s="216"/>
      <c r="Y13" s="209" t="s">
        <v>18</v>
      </c>
      <c r="Z13" s="211" t="s">
        <v>19</v>
      </c>
      <c r="AA13" s="213" t="s">
        <v>16</v>
      </c>
      <c r="AB13" s="224"/>
      <c r="AC13" s="3"/>
      <c r="AD13" s="3"/>
    </row>
    <row r="14" spans="1:30" ht="15.75" thickBot="1" x14ac:dyDescent="0.3">
      <c r="A14" s="1"/>
      <c r="B14" s="9"/>
      <c r="C14" s="10"/>
      <c r="D14" s="11" t="s">
        <v>20</v>
      </c>
      <c r="E14" s="12" t="s">
        <v>21</v>
      </c>
      <c r="F14" s="12" t="s">
        <v>22</v>
      </c>
      <c r="G14" s="210"/>
      <c r="H14" s="212"/>
      <c r="I14" s="214"/>
      <c r="J14" s="11" t="s">
        <v>20</v>
      </c>
      <c r="K14" s="12" t="s">
        <v>21</v>
      </c>
      <c r="L14" s="12" t="s">
        <v>22</v>
      </c>
      <c r="M14" s="210"/>
      <c r="N14" s="212"/>
      <c r="O14" s="214"/>
      <c r="P14" s="11" t="s">
        <v>20</v>
      </c>
      <c r="Q14" s="12" t="s">
        <v>21</v>
      </c>
      <c r="R14" s="12" t="s">
        <v>22</v>
      </c>
      <c r="S14" s="210"/>
      <c r="T14" s="212"/>
      <c r="U14" s="214"/>
      <c r="V14" s="11" t="s">
        <v>20</v>
      </c>
      <c r="W14" s="12" t="s">
        <v>21</v>
      </c>
      <c r="X14" s="12" t="s">
        <v>22</v>
      </c>
      <c r="Y14" s="210"/>
      <c r="Z14" s="212"/>
      <c r="AA14" s="214"/>
      <c r="AB14" s="225"/>
      <c r="AC14" s="3"/>
      <c r="AD14" s="3"/>
    </row>
    <row r="15" spans="1:30" x14ac:dyDescent="0.25">
      <c r="A15" s="1"/>
      <c r="B15" s="13" t="s">
        <v>23</v>
      </c>
      <c r="C15" s="14" t="s">
        <v>24</v>
      </c>
      <c r="D15" s="16">
        <f>+'[1]Plán 2020'!D15</f>
        <v>0</v>
      </c>
      <c r="E15" s="15">
        <f>+'[1]Plán 2020'!E15</f>
        <v>0</v>
      </c>
      <c r="F15" s="20">
        <f>+'[1]Plán 2020'!F15</f>
        <v>14419887.290000001</v>
      </c>
      <c r="G15" s="17">
        <f>SUM(D15:F15)</f>
        <v>14419887.290000001</v>
      </c>
      <c r="H15" s="18">
        <f>+'[1]Plán 2020'!H15</f>
        <v>14441048.589999998</v>
      </c>
      <c r="I15" s="19">
        <f>G15+H15</f>
        <v>28860935.879999999</v>
      </c>
      <c r="J15" s="16">
        <f>+'[2]NR 2019'!V15</f>
        <v>0</v>
      </c>
      <c r="K15" s="15">
        <f>+'[2]NR 2019'!W15</f>
        <v>0</v>
      </c>
      <c r="L15" s="20">
        <f>+'[2]NR 2019'!X15</f>
        <v>15250000</v>
      </c>
      <c r="M15" s="17">
        <f t="shared" ref="M15:M23" si="0">SUM(J15:L15)</f>
        <v>15250000</v>
      </c>
      <c r="N15" s="18">
        <f>+'[2]NR 2019'!Z15</f>
        <v>14487000</v>
      </c>
      <c r="O15" s="19">
        <f>M15+N15</f>
        <v>29737000</v>
      </c>
      <c r="P15" s="16">
        <f>+'[3]Vyhodnocení hosp. 1.pol. 2019'!P15</f>
        <v>0</v>
      </c>
      <c r="Q15" s="15">
        <f>+'[3]Vyhodnocení hosp. 1.pol. 2019'!Q15</f>
        <v>0</v>
      </c>
      <c r="R15" s="20">
        <f>+'[3]Vyhodnocení hosp. 1.pol. 2019'!R15</f>
        <v>8646871.8999999985</v>
      </c>
      <c r="S15" s="17">
        <f>SUM(P15:R15)</f>
        <v>8646871.8999999985</v>
      </c>
      <c r="T15" s="18">
        <f>+'[3]Vyhodnocení hosp. 1.pol. 2019'!T15</f>
        <v>6920786.8299999991</v>
      </c>
      <c r="U15" s="19">
        <f>S15+T15</f>
        <v>15567658.729999997</v>
      </c>
      <c r="V15" s="16">
        <f>+'[4]Plán 2020'!P15</f>
        <v>0</v>
      </c>
      <c r="W15" s="15">
        <f>+'[4]Plán 2020'!Q15</f>
        <v>0</v>
      </c>
      <c r="X15" s="20">
        <f>+'[4]Plán 2020'!R15</f>
        <v>16230000</v>
      </c>
      <c r="Y15" s="17">
        <f>SUM(V15:X15)</f>
        <v>16230000</v>
      </c>
      <c r="Z15" s="18">
        <f>+'[1]Plán 2020'!T15</f>
        <v>15050000</v>
      </c>
      <c r="AA15" s="19">
        <f>Y15+Z15</f>
        <v>31280000</v>
      </c>
      <c r="AB15" s="21">
        <f>(AA15/O15)</f>
        <v>1.0518882200625483</v>
      </c>
      <c r="AC15" s="3"/>
      <c r="AD15" s="3"/>
    </row>
    <row r="16" spans="1:30" x14ac:dyDescent="0.25">
      <c r="A16" s="1"/>
      <c r="B16" s="22" t="s">
        <v>25</v>
      </c>
      <c r="C16" s="23" t="s">
        <v>26</v>
      </c>
      <c r="D16" s="24">
        <f>+'[1]Plán 2020'!D16</f>
        <v>120461000</v>
      </c>
      <c r="E16" s="25">
        <f>+'[1]Plán 2020'!E16</f>
        <v>0</v>
      </c>
      <c r="F16" s="25">
        <f>+'[1]Plán 2020'!F16</f>
        <v>0</v>
      </c>
      <c r="G16" s="26">
        <f t="shared" ref="G16:G23" si="1">SUM(D16:F16)</f>
        <v>120461000</v>
      </c>
      <c r="H16" s="27">
        <f>+'[1]Plán 2020'!H16</f>
        <v>0</v>
      </c>
      <c r="I16" s="19">
        <f t="shared" ref="I16:I23" si="2">G16+H16</f>
        <v>120461000</v>
      </c>
      <c r="J16" s="24">
        <f>+'[2]NR 2019'!V16</f>
        <v>127400000</v>
      </c>
      <c r="K16" s="25">
        <f>+'[2]NR 2019'!W16</f>
        <v>0</v>
      </c>
      <c r="L16" s="25">
        <f>+'[2]NR 2019'!X16</f>
        <v>0</v>
      </c>
      <c r="M16" s="26">
        <f t="shared" si="0"/>
        <v>127400000</v>
      </c>
      <c r="N16" s="27">
        <f>+'[2]NR 2019'!Z16</f>
        <v>0</v>
      </c>
      <c r="O16" s="19">
        <f t="shared" ref="O16:O20" si="3">M16+N16</f>
        <v>127400000</v>
      </c>
      <c r="P16" s="24">
        <f>+'[3]Vyhodnocení hosp. 1.pol. 2019'!P16</f>
        <v>63200000</v>
      </c>
      <c r="Q16" s="25">
        <f>+'[3]Vyhodnocení hosp. 1.pol. 2019'!Q16</f>
        <v>0</v>
      </c>
      <c r="R16" s="25">
        <f>+'[3]Vyhodnocení hosp. 1.pol. 2019'!R16</f>
        <v>0</v>
      </c>
      <c r="S16" s="26">
        <f t="shared" ref="S16:S23" si="4">SUM(P16:R16)</f>
        <v>63200000</v>
      </c>
      <c r="T16" s="27">
        <f>+'[3]Vyhodnocení hosp. 1.pol. 2019'!T16</f>
        <v>0</v>
      </c>
      <c r="U16" s="19">
        <f t="shared" ref="U16:U20" si="5">S16+T16</f>
        <v>63200000</v>
      </c>
      <c r="V16" s="24">
        <f>+'[4]Plán 2020'!P16</f>
        <v>134038000</v>
      </c>
      <c r="W16" s="25">
        <f>+'[4]Plán 2020'!Q16</f>
        <v>0</v>
      </c>
      <c r="X16" s="25">
        <f>+'[4]Plán 2020'!R16</f>
        <v>0</v>
      </c>
      <c r="Y16" s="26">
        <f t="shared" ref="Y16:Y23" si="6">SUM(V16:X16)</f>
        <v>134038000</v>
      </c>
      <c r="Z16" s="27">
        <f>+'[1]Plán 2020'!T16</f>
        <v>0</v>
      </c>
      <c r="AA16" s="19">
        <f t="shared" ref="AA16:AA20" si="7">Y16+Z16</f>
        <v>134038000</v>
      </c>
      <c r="AB16" s="21">
        <f t="shared" ref="AB16:AB24" si="8">(AA16/O16)</f>
        <v>1.0521036106750392</v>
      </c>
      <c r="AC16" s="3"/>
      <c r="AD16" s="3"/>
    </row>
    <row r="17" spans="1:30" x14ac:dyDescent="0.25">
      <c r="A17" s="1"/>
      <c r="B17" s="22" t="s">
        <v>27</v>
      </c>
      <c r="C17" s="28" t="s">
        <v>28</v>
      </c>
      <c r="D17" s="29">
        <f>+'[1]Plán 2020'!D17</f>
        <v>0</v>
      </c>
      <c r="E17" s="30">
        <f>+'[1]Plán 2020'!E17</f>
        <v>0</v>
      </c>
      <c r="F17" s="30">
        <f>+'[1]Plán 2020'!F17</f>
        <v>0</v>
      </c>
      <c r="G17" s="26">
        <f t="shared" si="1"/>
        <v>0</v>
      </c>
      <c r="H17" s="31">
        <f>+'[1]Plán 2020'!H17</f>
        <v>0</v>
      </c>
      <c r="I17" s="19">
        <f t="shared" si="2"/>
        <v>0</v>
      </c>
      <c r="J17" s="29">
        <f>+'[2]NR 2019'!V17</f>
        <v>0</v>
      </c>
      <c r="K17" s="30">
        <f>+'[2]NR 2019'!W17</f>
        <v>0</v>
      </c>
      <c r="L17" s="30">
        <f>+'[2]NR 2019'!X17</f>
        <v>0</v>
      </c>
      <c r="M17" s="26">
        <f t="shared" si="0"/>
        <v>0</v>
      </c>
      <c r="N17" s="31">
        <f>+'[2]NR 2019'!Z17</f>
        <v>0</v>
      </c>
      <c r="O17" s="19">
        <f t="shared" si="3"/>
        <v>0</v>
      </c>
      <c r="P17" s="29">
        <f>+'[3]Vyhodnocení hosp. 1.pol. 2019'!P17</f>
        <v>0</v>
      </c>
      <c r="Q17" s="30">
        <f>+'[3]Vyhodnocení hosp. 1.pol. 2019'!Q17</f>
        <v>0</v>
      </c>
      <c r="R17" s="30">
        <f>+'[3]Vyhodnocení hosp. 1.pol. 2019'!R17</f>
        <v>0</v>
      </c>
      <c r="S17" s="26">
        <f t="shared" si="4"/>
        <v>0</v>
      </c>
      <c r="T17" s="31">
        <f>+'[3]Vyhodnocení hosp. 1.pol. 2019'!T17</f>
        <v>0</v>
      </c>
      <c r="U17" s="19">
        <f t="shared" si="5"/>
        <v>0</v>
      </c>
      <c r="V17" s="29">
        <f>+'[4]Plán 2020'!P17</f>
        <v>0</v>
      </c>
      <c r="W17" s="30">
        <f>+'[4]Plán 2020'!Q17</f>
        <v>0</v>
      </c>
      <c r="X17" s="30">
        <f>+'[4]Plán 2020'!R17</f>
        <v>0</v>
      </c>
      <c r="Y17" s="26">
        <f t="shared" si="6"/>
        <v>0</v>
      </c>
      <c r="Z17" s="31">
        <f>+'[1]Plán 2020'!T17</f>
        <v>0</v>
      </c>
      <c r="AA17" s="19">
        <f t="shared" si="7"/>
        <v>0</v>
      </c>
      <c r="AB17" s="21" t="e">
        <f t="shared" si="8"/>
        <v>#DIV/0!</v>
      </c>
      <c r="AC17" s="3"/>
      <c r="AD17" s="3"/>
    </row>
    <row r="18" spans="1:30" x14ac:dyDescent="0.25">
      <c r="A18" s="1"/>
      <c r="B18" s="22" t="s">
        <v>29</v>
      </c>
      <c r="C18" s="32" t="s">
        <v>30</v>
      </c>
      <c r="D18" s="33">
        <f>+'[1]Plán 2020'!D18</f>
        <v>0</v>
      </c>
      <c r="E18" s="34">
        <f>+'[1]Plán 2020'!E18</f>
        <v>988254</v>
      </c>
      <c r="F18" s="30">
        <f>+'[1]Plán 2020'!F18</f>
        <v>0</v>
      </c>
      <c r="G18" s="26">
        <f t="shared" si="1"/>
        <v>988254</v>
      </c>
      <c r="H18" s="18">
        <f>+'[1]Plán 2020'!H18</f>
        <v>0</v>
      </c>
      <c r="I18" s="19">
        <f t="shared" si="2"/>
        <v>988254</v>
      </c>
      <c r="J18" s="33">
        <f>+'[2]NR 2019'!V18</f>
        <v>0</v>
      </c>
      <c r="K18" s="34">
        <f>+'[2]NR 2019'!W18</f>
        <v>1510000</v>
      </c>
      <c r="L18" s="30">
        <f>+'[2]NR 2019'!X18</f>
        <v>0</v>
      </c>
      <c r="M18" s="26">
        <f t="shared" si="0"/>
        <v>1510000</v>
      </c>
      <c r="N18" s="18">
        <f>+'[2]NR 2019'!Z18</f>
        <v>0</v>
      </c>
      <c r="O18" s="19">
        <f t="shared" si="3"/>
        <v>1510000</v>
      </c>
      <c r="P18" s="33">
        <f>+'[3]Vyhodnocení hosp. 1.pol. 2019'!P18</f>
        <v>0</v>
      </c>
      <c r="Q18" s="34">
        <f>+'[3]Vyhodnocení hosp. 1.pol. 2019'!Q18</f>
        <v>77500</v>
      </c>
      <c r="R18" s="30">
        <f>+'[3]Vyhodnocení hosp. 1.pol. 2019'!R18</f>
        <v>0</v>
      </c>
      <c r="S18" s="26">
        <f t="shared" si="4"/>
        <v>77500</v>
      </c>
      <c r="T18" s="18">
        <f>+'[3]Vyhodnocení hosp. 1.pol. 2019'!T18</f>
        <v>0</v>
      </c>
      <c r="U18" s="19">
        <f t="shared" si="5"/>
        <v>77500</v>
      </c>
      <c r="V18" s="33">
        <f>+'[4]Plán 2020'!P18</f>
        <v>0</v>
      </c>
      <c r="W18" s="34">
        <f>+'[4]Plán 2020'!Q18</f>
        <v>1261073</v>
      </c>
      <c r="X18" s="30">
        <f>+'[4]Plán 2020'!R18</f>
        <v>0</v>
      </c>
      <c r="Y18" s="26">
        <f t="shared" si="6"/>
        <v>1261073</v>
      </c>
      <c r="Z18" s="18">
        <f>+'[1]Plán 2020'!T18</f>
        <v>0</v>
      </c>
      <c r="AA18" s="19">
        <f t="shared" si="7"/>
        <v>1261073</v>
      </c>
      <c r="AB18" s="21">
        <f t="shared" si="8"/>
        <v>0.83514768211920531</v>
      </c>
      <c r="AC18" s="3"/>
      <c r="AD18" s="3"/>
    </row>
    <row r="19" spans="1:30" x14ac:dyDescent="0.25">
      <c r="A19" s="1"/>
      <c r="B19" s="22" t="s">
        <v>31</v>
      </c>
      <c r="C19" s="35" t="s">
        <v>32</v>
      </c>
      <c r="D19" s="36">
        <f>+'[1]Plán 2020'!D19</f>
        <v>0</v>
      </c>
      <c r="E19" s="30">
        <f>+'[1]Plán 2020'!E19</f>
        <v>0</v>
      </c>
      <c r="F19" s="37">
        <f>+'[1]Plán 2020'!F19</f>
        <v>0</v>
      </c>
      <c r="G19" s="26">
        <f t="shared" si="1"/>
        <v>0</v>
      </c>
      <c r="H19" s="38">
        <f>+'[1]Plán 2020'!H19</f>
        <v>0</v>
      </c>
      <c r="I19" s="19">
        <f t="shared" si="2"/>
        <v>0</v>
      </c>
      <c r="J19" s="36">
        <f>+'[2]NR 2019'!V19</f>
        <v>0</v>
      </c>
      <c r="K19" s="30">
        <f>+'[2]NR 2019'!W19</f>
        <v>0</v>
      </c>
      <c r="L19" s="37">
        <f>+'[2]NR 2019'!X19</f>
        <v>921792</v>
      </c>
      <c r="M19" s="26">
        <f t="shared" si="0"/>
        <v>921792</v>
      </c>
      <c r="N19" s="38">
        <f>+'[2]NR 2019'!Z19</f>
        <v>0</v>
      </c>
      <c r="O19" s="19">
        <f t="shared" si="3"/>
        <v>921792</v>
      </c>
      <c r="P19" s="36">
        <f>+'[3]Vyhodnocení hosp. 1.pol. 2019'!P19</f>
        <v>0</v>
      </c>
      <c r="Q19" s="30">
        <f>+'[3]Vyhodnocení hosp. 1.pol. 2019'!Q19</f>
        <v>0</v>
      </c>
      <c r="R19" s="37">
        <f>+'[3]Vyhodnocení hosp. 1.pol. 2019'!R19</f>
        <v>0</v>
      </c>
      <c r="S19" s="26">
        <f t="shared" si="4"/>
        <v>0</v>
      </c>
      <c r="T19" s="38">
        <f>+'[3]Vyhodnocení hosp. 1.pol. 2019'!T19</f>
        <v>0</v>
      </c>
      <c r="U19" s="19">
        <f t="shared" si="5"/>
        <v>0</v>
      </c>
      <c r="V19" s="36">
        <f>+'[4]Plán 2020'!P19</f>
        <v>0</v>
      </c>
      <c r="W19" s="30">
        <f>+'[4]Plán 2020'!Q19</f>
        <v>0</v>
      </c>
      <c r="X19" s="37">
        <f>+'[4]Plán 2020'!R19</f>
        <v>0</v>
      </c>
      <c r="Y19" s="26">
        <f t="shared" si="6"/>
        <v>0</v>
      </c>
      <c r="Z19" s="38">
        <f>+'[1]Plán 2020'!T19</f>
        <v>0</v>
      </c>
      <c r="AA19" s="19">
        <f t="shared" si="7"/>
        <v>0</v>
      </c>
      <c r="AB19" s="21">
        <f t="shared" si="8"/>
        <v>0</v>
      </c>
      <c r="AC19" s="3"/>
      <c r="AD19" s="3"/>
    </row>
    <row r="20" spans="1:30" x14ac:dyDescent="0.25">
      <c r="A20" s="1"/>
      <c r="B20" s="22" t="s">
        <v>33</v>
      </c>
      <c r="C20" s="39" t="s">
        <v>34</v>
      </c>
      <c r="D20" s="33">
        <f>+'[1]Plán 2020'!D20</f>
        <v>0</v>
      </c>
      <c r="E20" s="25">
        <f>+'[1]Plán 2020'!E20</f>
        <v>0</v>
      </c>
      <c r="F20" s="40">
        <f>+'[1]Plán 2020'!F20</f>
        <v>0</v>
      </c>
      <c r="G20" s="26"/>
      <c r="H20" s="38">
        <f>+'[1]Plán 2020'!H20</f>
        <v>0</v>
      </c>
      <c r="I20" s="19">
        <f t="shared" si="2"/>
        <v>0</v>
      </c>
      <c r="J20" s="33">
        <f>+'[2]NR 2019'!V20</f>
        <v>0</v>
      </c>
      <c r="K20" s="25">
        <f>+'[2]NR 2019'!W20</f>
        <v>0</v>
      </c>
      <c r="L20" s="40">
        <f>+'[2]NR 2019'!X20</f>
        <v>0</v>
      </c>
      <c r="M20" s="26">
        <f t="shared" si="0"/>
        <v>0</v>
      </c>
      <c r="N20" s="38">
        <f>+'[2]NR 2019'!Z20</f>
        <v>0</v>
      </c>
      <c r="O20" s="19">
        <f t="shared" si="3"/>
        <v>0</v>
      </c>
      <c r="P20" s="33">
        <f>+'[3]Vyhodnocení hosp. 1.pol. 2019'!P20</f>
        <v>0</v>
      </c>
      <c r="Q20" s="25">
        <f>+'[3]Vyhodnocení hosp. 1.pol. 2019'!Q20</f>
        <v>0</v>
      </c>
      <c r="R20" s="40">
        <f>+'[3]Vyhodnocení hosp. 1.pol. 2019'!R20</f>
        <v>1063.25</v>
      </c>
      <c r="S20" s="26">
        <f t="shared" si="4"/>
        <v>1063.25</v>
      </c>
      <c r="T20" s="38">
        <f>+'[3]Vyhodnocení hosp. 1.pol. 2019'!T20</f>
        <v>0</v>
      </c>
      <c r="U20" s="19">
        <f t="shared" si="5"/>
        <v>1063.25</v>
      </c>
      <c r="V20" s="33">
        <f>+'[4]Plán 2020'!P20</f>
        <v>0</v>
      </c>
      <c r="W20" s="25">
        <f>+'[4]Plán 2020'!Q20</f>
        <v>0</v>
      </c>
      <c r="X20" s="40">
        <f>+'[4]Plán 2020'!R20</f>
        <v>0</v>
      </c>
      <c r="Y20" s="26">
        <f t="shared" si="6"/>
        <v>0</v>
      </c>
      <c r="Z20" s="38">
        <f>+'[1]Plán 2020'!T20</f>
        <v>0</v>
      </c>
      <c r="AA20" s="19">
        <f t="shared" si="7"/>
        <v>0</v>
      </c>
      <c r="AB20" s="21" t="e">
        <f t="shared" si="8"/>
        <v>#DIV/0!</v>
      </c>
      <c r="AC20" s="3"/>
      <c r="AD20" s="3"/>
    </row>
    <row r="21" spans="1:30" x14ac:dyDescent="0.25">
      <c r="A21" s="1"/>
      <c r="B21" s="22" t="s">
        <v>35</v>
      </c>
      <c r="C21" s="41" t="s">
        <v>36</v>
      </c>
      <c r="D21" s="33">
        <f>+'[1]Plán 2020'!D21</f>
        <v>0</v>
      </c>
      <c r="E21" s="25">
        <f>+'[1]Plán 2020'!E21</f>
        <v>0</v>
      </c>
      <c r="F21" s="40">
        <f>+'[1]Plán 2020'!F21</f>
        <v>2741534.16</v>
      </c>
      <c r="G21" s="26">
        <f t="shared" si="1"/>
        <v>2741534.16</v>
      </c>
      <c r="H21" s="42">
        <f>+'[1]Plán 2020'!H21</f>
        <v>12301.37</v>
      </c>
      <c r="I21" s="19">
        <f>G21+H21</f>
        <v>2753835.5300000003</v>
      </c>
      <c r="J21" s="33">
        <f>+'[2]NR 2019'!V21</f>
        <v>0</v>
      </c>
      <c r="K21" s="25">
        <f>+'[2]NR 2019'!W21</f>
        <v>0</v>
      </c>
      <c r="L21" s="40">
        <f>+'[2]NR 2019'!X21</f>
        <v>0</v>
      </c>
      <c r="M21" s="26">
        <f t="shared" si="0"/>
        <v>0</v>
      </c>
      <c r="N21" s="42">
        <f>+'[2]NR 2019'!Z21</f>
        <v>0</v>
      </c>
      <c r="O21" s="19">
        <f>M21+N21</f>
        <v>0</v>
      </c>
      <c r="P21" s="33">
        <f>+'[3]Vyhodnocení hosp. 1.pol. 2019'!P21</f>
        <v>0</v>
      </c>
      <c r="Q21" s="25">
        <f>+'[3]Vyhodnocení hosp. 1.pol. 2019'!Q21</f>
        <v>0</v>
      </c>
      <c r="R21" s="40">
        <f>+'[3]Vyhodnocení hosp. 1.pol. 2019'!R21</f>
        <v>1344126.7799999998</v>
      </c>
      <c r="S21" s="26">
        <f t="shared" si="4"/>
        <v>1344126.7799999998</v>
      </c>
      <c r="T21" s="42">
        <f>+'[3]Vyhodnocení hosp. 1.pol. 2019'!T21</f>
        <v>4825.01</v>
      </c>
      <c r="U21" s="19">
        <f>S21+T21</f>
        <v>1348951.7899999998</v>
      </c>
      <c r="V21" s="33">
        <f>+'[4]Plán 2020'!P21</f>
        <v>0</v>
      </c>
      <c r="W21" s="25">
        <f>+'[4]Plán 2020'!Q21</f>
        <v>0</v>
      </c>
      <c r="X21" s="40">
        <f>+'[4]Plán 2020'!R21</f>
        <v>1396342</v>
      </c>
      <c r="Y21" s="26">
        <f t="shared" si="6"/>
        <v>1396342</v>
      </c>
      <c r="Z21" s="42">
        <f>+'[1]Plán 2020'!T21</f>
        <v>6000</v>
      </c>
      <c r="AA21" s="19">
        <f>Y21+Z21</f>
        <v>1402342</v>
      </c>
      <c r="AB21" s="21" t="e">
        <f t="shared" si="8"/>
        <v>#DIV/0!</v>
      </c>
      <c r="AC21" s="3"/>
      <c r="AD21" s="3"/>
    </row>
    <row r="22" spans="1:30" x14ac:dyDescent="0.25">
      <c r="A22" s="1"/>
      <c r="B22" s="22" t="s">
        <v>37</v>
      </c>
      <c r="C22" s="41" t="s">
        <v>38</v>
      </c>
      <c r="D22" s="33">
        <f>+'[1]Plán 2020'!D22</f>
        <v>0</v>
      </c>
      <c r="E22" s="25">
        <f>+'[1]Plán 2020'!E22</f>
        <v>0</v>
      </c>
      <c r="F22" s="40">
        <f>+'[1]Plán 2020'!F22</f>
        <v>0</v>
      </c>
      <c r="G22" s="26">
        <f t="shared" si="1"/>
        <v>0</v>
      </c>
      <c r="H22" s="42">
        <f>+'[1]Plán 2020'!H22</f>
        <v>0</v>
      </c>
      <c r="I22" s="19">
        <f t="shared" si="2"/>
        <v>0</v>
      </c>
      <c r="J22" s="33">
        <f>+'[2]NR 2019'!V22</f>
        <v>0</v>
      </c>
      <c r="K22" s="25">
        <f>+'[2]NR 2019'!W22</f>
        <v>0</v>
      </c>
      <c r="L22" s="40">
        <f>+'[2]NR 2019'!X22</f>
        <v>0</v>
      </c>
      <c r="M22" s="26">
        <f t="shared" si="0"/>
        <v>0</v>
      </c>
      <c r="N22" s="42">
        <f>+'[2]NR 2019'!Z22</f>
        <v>0</v>
      </c>
      <c r="O22" s="19">
        <f t="shared" ref="O22:O23" si="9">M22+N22</f>
        <v>0</v>
      </c>
      <c r="P22" s="33">
        <f>+'[3]Vyhodnocení hosp. 1.pol. 2019'!P22</f>
        <v>0</v>
      </c>
      <c r="Q22" s="25">
        <f>+'[3]Vyhodnocení hosp. 1.pol. 2019'!Q22</f>
        <v>0</v>
      </c>
      <c r="R22" s="40">
        <f>+'[3]Vyhodnocení hosp. 1.pol. 2019'!R22</f>
        <v>0</v>
      </c>
      <c r="S22" s="26">
        <f t="shared" si="4"/>
        <v>0</v>
      </c>
      <c r="T22" s="42">
        <f>+'[3]Vyhodnocení hosp. 1.pol. 2019'!T22</f>
        <v>0</v>
      </c>
      <c r="U22" s="19">
        <f t="shared" ref="U22:U23" si="10">S22+T22</f>
        <v>0</v>
      </c>
      <c r="V22" s="33">
        <f>+'[4]Plán 2020'!P22</f>
        <v>0</v>
      </c>
      <c r="W22" s="25">
        <f>+'[4]Plán 2020'!Q22</f>
        <v>0</v>
      </c>
      <c r="X22" s="40">
        <f>+'[4]Plán 2020'!R22</f>
        <v>625000</v>
      </c>
      <c r="Y22" s="26">
        <f t="shared" si="6"/>
        <v>625000</v>
      </c>
      <c r="Z22" s="42">
        <f>+'[1]Plán 2020'!T22</f>
        <v>0</v>
      </c>
      <c r="AA22" s="19">
        <f t="shared" ref="AA22:AA23" si="11">Y22+Z22</f>
        <v>625000</v>
      </c>
      <c r="AB22" s="21" t="e">
        <f t="shared" si="8"/>
        <v>#DIV/0!</v>
      </c>
      <c r="AC22" s="3"/>
      <c r="AD22" s="3"/>
    </row>
    <row r="23" spans="1:30" ht="15.75" thickBot="1" x14ac:dyDescent="0.3">
      <c r="A23" s="1"/>
      <c r="B23" s="43" t="s">
        <v>40</v>
      </c>
      <c r="C23" s="44" t="s">
        <v>41</v>
      </c>
      <c r="D23" s="46">
        <f>+'[1]Plán 2020'!D23</f>
        <v>0</v>
      </c>
      <c r="E23" s="45">
        <f>+'[1]Plán 2020'!E23</f>
        <v>0</v>
      </c>
      <c r="F23" s="50">
        <f>+'[1]Plán 2020'!F23</f>
        <v>0</v>
      </c>
      <c r="G23" s="47">
        <f t="shared" si="1"/>
        <v>0</v>
      </c>
      <c r="H23" s="48">
        <f>+'[1]Plán 2020'!H23</f>
        <v>0</v>
      </c>
      <c r="I23" s="49">
        <f t="shared" si="2"/>
        <v>0</v>
      </c>
      <c r="J23" s="46">
        <f>+'[2]NR 2019'!V23</f>
        <v>0</v>
      </c>
      <c r="K23" s="45">
        <f>+'[2]NR 2019'!W23</f>
        <v>0</v>
      </c>
      <c r="L23" s="50">
        <f>+'[2]NR 2019'!X23</f>
        <v>0</v>
      </c>
      <c r="M23" s="47">
        <f t="shared" si="0"/>
        <v>0</v>
      </c>
      <c r="N23" s="48">
        <f>+'[2]NR 2019'!Z23</f>
        <v>0</v>
      </c>
      <c r="O23" s="49">
        <f t="shared" si="9"/>
        <v>0</v>
      </c>
      <c r="P23" s="46">
        <f>+'[3]Vyhodnocení hosp. 1.pol. 2019'!P23</f>
        <v>0</v>
      </c>
      <c r="Q23" s="45">
        <f>+'[3]Vyhodnocení hosp. 1.pol. 2019'!Q23</f>
        <v>0</v>
      </c>
      <c r="R23" s="50">
        <f>+'[3]Vyhodnocení hosp. 1.pol. 2019'!R23</f>
        <v>0</v>
      </c>
      <c r="S23" s="47">
        <f t="shared" si="4"/>
        <v>0</v>
      </c>
      <c r="T23" s="48">
        <f>+'[3]Vyhodnocení hosp. 1.pol. 2019'!T23</f>
        <v>0</v>
      </c>
      <c r="U23" s="49">
        <f t="shared" si="10"/>
        <v>0</v>
      </c>
      <c r="V23" s="46">
        <f>+'[4]Plán 2020'!P23</f>
        <v>0</v>
      </c>
      <c r="W23" s="45">
        <f>+'[4]Plán 2020'!Q23</f>
        <v>0</v>
      </c>
      <c r="X23" s="50">
        <f>+'[4]Plán 2020'!R23</f>
        <v>0</v>
      </c>
      <c r="Y23" s="47">
        <f t="shared" si="6"/>
        <v>0</v>
      </c>
      <c r="Z23" s="48">
        <f>+'[1]Plán 2020'!T23</f>
        <v>0</v>
      </c>
      <c r="AA23" s="49">
        <f t="shared" si="11"/>
        <v>0</v>
      </c>
      <c r="AB23" s="51" t="e">
        <f t="shared" si="8"/>
        <v>#DIV/0!</v>
      </c>
      <c r="AC23" s="3"/>
      <c r="AD23" s="3"/>
    </row>
    <row r="24" spans="1:30" ht="15.75" thickBot="1" x14ac:dyDescent="0.3">
      <c r="A24" s="1"/>
      <c r="B24" s="52" t="s">
        <v>42</v>
      </c>
      <c r="C24" s="53" t="s">
        <v>43</v>
      </c>
      <c r="D24" s="54">
        <f>SUM(D15:D21)</f>
        <v>120461000</v>
      </c>
      <c r="E24" s="55">
        <f>SUM(E15:E21)</f>
        <v>988254</v>
      </c>
      <c r="F24" s="55">
        <f>SUM(F15:F21)</f>
        <v>17161421.450000003</v>
      </c>
      <c r="G24" s="56">
        <f>SUM(D24:F24)</f>
        <v>138610675.44999999</v>
      </c>
      <c r="H24" s="57">
        <f>SUM(H15:H21)</f>
        <v>14453349.959999997</v>
      </c>
      <c r="I24" s="57">
        <f>SUM(I15:I21)</f>
        <v>153064025.41</v>
      </c>
      <c r="J24" s="54">
        <f>SUM(J15:J21)</f>
        <v>127400000</v>
      </c>
      <c r="K24" s="55">
        <f>SUM(K15:K21)</f>
        <v>1510000</v>
      </c>
      <c r="L24" s="55">
        <f>SUM(L15:L21)</f>
        <v>16171792</v>
      </c>
      <c r="M24" s="56">
        <f>SUM(J24:L24)</f>
        <v>145081792</v>
      </c>
      <c r="N24" s="57">
        <f>SUM(N15:N21)</f>
        <v>14487000</v>
      </c>
      <c r="O24" s="57">
        <f>SUM(O15:O21)</f>
        <v>159568792</v>
      </c>
      <c r="P24" s="54">
        <f>SUM(P15:P21)</f>
        <v>63200000</v>
      </c>
      <c r="Q24" s="55">
        <f>SUM(Q15:Q21)</f>
        <v>77500</v>
      </c>
      <c r="R24" s="55">
        <f>SUM(R15:R21)</f>
        <v>9992061.9299999978</v>
      </c>
      <c r="S24" s="56">
        <f>SUM(P24:R24)</f>
        <v>73269561.929999992</v>
      </c>
      <c r="T24" s="57">
        <f>SUM(T15:T21)</f>
        <v>6925611.8399999989</v>
      </c>
      <c r="U24" s="57">
        <f>SUM(U15:U21)</f>
        <v>80195173.769999996</v>
      </c>
      <c r="V24" s="54">
        <f>SUM(V15:V21)</f>
        <v>134038000</v>
      </c>
      <c r="W24" s="55">
        <f>SUM(W15:W21)</f>
        <v>1261073</v>
      </c>
      <c r="X24" s="55">
        <f>SUM(X15:X21)</f>
        <v>17626342</v>
      </c>
      <c r="Y24" s="56">
        <f>SUM(V24:X24)</f>
        <v>152925415</v>
      </c>
      <c r="Z24" s="57">
        <f>SUM(Z15:Z21)</f>
        <v>15056000</v>
      </c>
      <c r="AA24" s="57">
        <f>SUM(AA15:AA21)</f>
        <v>167981415</v>
      </c>
      <c r="AB24" s="58">
        <f t="shared" si="8"/>
        <v>1.0527209794256009</v>
      </c>
      <c r="AC24" s="3"/>
      <c r="AD24" s="3"/>
    </row>
    <row r="25" spans="1:30" ht="15.75" customHeight="1" thickBot="1" x14ac:dyDescent="0.3">
      <c r="A25" s="1"/>
      <c r="B25" s="59"/>
      <c r="C25" s="60"/>
      <c r="D25" s="205" t="s">
        <v>44</v>
      </c>
      <c r="E25" s="206"/>
      <c r="F25" s="206"/>
      <c r="G25" s="207"/>
      <c r="H25" s="207"/>
      <c r="I25" s="208"/>
      <c r="J25" s="205" t="s">
        <v>44</v>
      </c>
      <c r="K25" s="206"/>
      <c r="L25" s="206"/>
      <c r="M25" s="207"/>
      <c r="N25" s="207"/>
      <c r="O25" s="208"/>
      <c r="P25" s="205" t="s">
        <v>44</v>
      </c>
      <c r="Q25" s="206"/>
      <c r="R25" s="206"/>
      <c r="S25" s="207"/>
      <c r="T25" s="207"/>
      <c r="U25" s="208"/>
      <c r="V25" s="205" t="s">
        <v>44</v>
      </c>
      <c r="W25" s="206"/>
      <c r="X25" s="206"/>
      <c r="Y25" s="207"/>
      <c r="Z25" s="207"/>
      <c r="AA25" s="208"/>
      <c r="AB25" s="217" t="s">
        <v>12</v>
      </c>
      <c r="AC25" s="3"/>
      <c r="AD25" s="3"/>
    </row>
    <row r="26" spans="1:30" ht="15.75" thickBot="1" x14ac:dyDescent="0.3">
      <c r="A26" s="1"/>
      <c r="B26" s="197" t="s">
        <v>6</v>
      </c>
      <c r="C26" s="199" t="s">
        <v>7</v>
      </c>
      <c r="D26" s="189" t="s">
        <v>46</v>
      </c>
      <c r="E26" s="190"/>
      <c r="F26" s="190"/>
      <c r="G26" s="191" t="s">
        <v>47</v>
      </c>
      <c r="H26" s="193" t="s">
        <v>48</v>
      </c>
      <c r="I26" s="195" t="s">
        <v>44</v>
      </c>
      <c r="J26" s="189" t="s">
        <v>46</v>
      </c>
      <c r="K26" s="190"/>
      <c r="L26" s="190"/>
      <c r="M26" s="191" t="s">
        <v>47</v>
      </c>
      <c r="N26" s="193" t="s">
        <v>48</v>
      </c>
      <c r="O26" s="195" t="s">
        <v>44</v>
      </c>
      <c r="P26" s="189" t="s">
        <v>46</v>
      </c>
      <c r="Q26" s="190"/>
      <c r="R26" s="190"/>
      <c r="S26" s="191" t="s">
        <v>47</v>
      </c>
      <c r="T26" s="193" t="s">
        <v>48</v>
      </c>
      <c r="U26" s="195" t="s">
        <v>44</v>
      </c>
      <c r="V26" s="189" t="s">
        <v>46</v>
      </c>
      <c r="W26" s="190"/>
      <c r="X26" s="190"/>
      <c r="Y26" s="191" t="s">
        <v>47</v>
      </c>
      <c r="Z26" s="193" t="s">
        <v>48</v>
      </c>
      <c r="AA26" s="195" t="s">
        <v>44</v>
      </c>
      <c r="AB26" s="218"/>
      <c r="AC26" s="3"/>
      <c r="AD26" s="3"/>
    </row>
    <row r="27" spans="1:30" ht="15.75" thickBot="1" x14ac:dyDescent="0.3">
      <c r="A27" s="1"/>
      <c r="B27" s="198"/>
      <c r="C27" s="200"/>
      <c r="D27" s="61" t="s">
        <v>49</v>
      </c>
      <c r="E27" s="62" t="s">
        <v>50</v>
      </c>
      <c r="F27" s="63" t="s">
        <v>51</v>
      </c>
      <c r="G27" s="192"/>
      <c r="H27" s="194"/>
      <c r="I27" s="196"/>
      <c r="J27" s="61" t="s">
        <v>49</v>
      </c>
      <c r="K27" s="62" t="s">
        <v>50</v>
      </c>
      <c r="L27" s="63" t="s">
        <v>51</v>
      </c>
      <c r="M27" s="192"/>
      <c r="N27" s="194"/>
      <c r="O27" s="196"/>
      <c r="P27" s="61" t="s">
        <v>49</v>
      </c>
      <c r="Q27" s="62" t="s">
        <v>50</v>
      </c>
      <c r="R27" s="63" t="s">
        <v>51</v>
      </c>
      <c r="S27" s="192"/>
      <c r="T27" s="194"/>
      <c r="U27" s="196"/>
      <c r="V27" s="61" t="s">
        <v>49</v>
      </c>
      <c r="W27" s="62" t="s">
        <v>50</v>
      </c>
      <c r="X27" s="63" t="s">
        <v>51</v>
      </c>
      <c r="Y27" s="192"/>
      <c r="Z27" s="194"/>
      <c r="AA27" s="196"/>
      <c r="AB27" s="219"/>
      <c r="AC27" s="3"/>
      <c r="AD27" s="3"/>
    </row>
    <row r="28" spans="1:30" x14ac:dyDescent="0.25">
      <c r="A28" s="1"/>
      <c r="B28" s="13" t="s">
        <v>52</v>
      </c>
      <c r="C28" s="64" t="s">
        <v>53</v>
      </c>
      <c r="D28" s="65">
        <f>+'[1]Plán 2020'!D28</f>
        <v>4317264.6403270233</v>
      </c>
      <c r="E28" s="65">
        <f>+'[1]Plán 2020'!E28</f>
        <v>0</v>
      </c>
      <c r="F28" s="65">
        <f>+'[1]Plán 2020'!F28</f>
        <v>650475.6896729765</v>
      </c>
      <c r="G28" s="66">
        <f>SUM(D28:F28)</f>
        <v>4967740.33</v>
      </c>
      <c r="H28" s="66">
        <f>+'[1]Plán 2020'!H28</f>
        <v>22338.870000000003</v>
      </c>
      <c r="I28" s="67">
        <f>G28+H28</f>
        <v>4990079.2</v>
      </c>
      <c r="J28" s="68">
        <f>+'[2]NR 2019'!V28</f>
        <v>2429715.2000000002</v>
      </c>
      <c r="K28" s="65">
        <f>+'[2]NR 2019'!W28</f>
        <v>0</v>
      </c>
      <c r="L28" s="65">
        <f>+'[2]NR 2019'!X28</f>
        <v>331324.79999999999</v>
      </c>
      <c r="M28" s="66">
        <f>SUM(J28:L28)</f>
        <v>2761040</v>
      </c>
      <c r="N28" s="66">
        <f>+'[2]NR 2019'!Z28</f>
        <v>25500</v>
      </c>
      <c r="O28" s="67">
        <f>M28+N28</f>
        <v>2786540</v>
      </c>
      <c r="P28" s="16">
        <f>+'[3]Vyhodnocení hosp. 1.pol. 2019'!P28</f>
        <v>2275359.5669546262</v>
      </c>
      <c r="Q28" s="65">
        <f>+'[3]Vyhodnocení hosp. 1.pol. 2019'!Q28</f>
        <v>0</v>
      </c>
      <c r="R28" s="65">
        <f>+'[3]Vyhodnocení hosp. 1.pol. 2019'!R28</f>
        <v>362529.6530453735</v>
      </c>
      <c r="S28" s="66">
        <f>SUM(P28:R28)</f>
        <v>2637889.2199999997</v>
      </c>
      <c r="T28" s="66">
        <f>+'[3]Vyhodnocení hosp. 1.pol. 2019'!T28</f>
        <v>20915.780000000002</v>
      </c>
      <c r="U28" s="67">
        <f>S28+T28</f>
        <v>2658804.9999999995</v>
      </c>
      <c r="V28" s="68">
        <f>+'[4]Plán 2020'!P28</f>
        <v>2722735.6968463352</v>
      </c>
      <c r="W28" s="65">
        <f>+'[4]Plán 2020'!Q28</f>
        <v>0</v>
      </c>
      <c r="X28" s="65">
        <f>+'[4]Plán 2020'!R28</f>
        <v>383663.13315366482</v>
      </c>
      <c r="Y28" s="66">
        <f>SUM(V28:X28)</f>
        <v>3106398.83</v>
      </c>
      <c r="Z28" s="66">
        <f>+'[1]Plán 2020'!T28</f>
        <v>38000</v>
      </c>
      <c r="AA28" s="67">
        <f>Y28+Z28</f>
        <v>3144398.83</v>
      </c>
      <c r="AB28" s="21">
        <f t="shared" ref="AB28:AB41" si="12">(AA28/O28)</f>
        <v>1.1284240778887078</v>
      </c>
      <c r="AC28" s="3"/>
      <c r="AD28" s="3"/>
    </row>
    <row r="29" spans="1:30" x14ac:dyDescent="0.25">
      <c r="A29" s="1"/>
      <c r="B29" s="22" t="s">
        <v>54</v>
      </c>
      <c r="C29" s="69" t="s">
        <v>55</v>
      </c>
      <c r="D29" s="70">
        <f>+'[1]Plán 2020'!D29</f>
        <v>10242576.069475535</v>
      </c>
      <c r="E29" s="70">
        <f>+'[1]Plán 2020'!E29</f>
        <v>0</v>
      </c>
      <c r="F29" s="70">
        <f>+'[1]Plán 2020'!F29</f>
        <v>1543233.3405244646</v>
      </c>
      <c r="G29" s="71">
        <f t="shared" ref="G29:G38" si="13">SUM(D29:F29)</f>
        <v>11785809.41</v>
      </c>
      <c r="H29" s="72">
        <f>+'[1]Plán 2020'!H29</f>
        <v>2327500.81</v>
      </c>
      <c r="I29" s="19">
        <f t="shared" ref="I29:I38" si="14">G29+H29</f>
        <v>14113310.220000001</v>
      </c>
      <c r="J29" s="73">
        <f>+'[2]NR 2019'!V29</f>
        <v>9631025.9800000004</v>
      </c>
      <c r="K29" s="70">
        <f>+'[2]NR 2019'!W29</f>
        <v>0</v>
      </c>
      <c r="L29" s="70">
        <f>+'[2]NR 2019'!X29</f>
        <v>1269648</v>
      </c>
      <c r="M29" s="71">
        <f t="shared" ref="M29:M38" si="15">SUM(J29:L29)</f>
        <v>10900673.98</v>
      </c>
      <c r="N29" s="72">
        <f>+'[2]NR 2019'!Z29</f>
        <v>2025500</v>
      </c>
      <c r="O29" s="19">
        <f t="shared" ref="O29:O38" si="16">M29+N29</f>
        <v>12926173.98</v>
      </c>
      <c r="P29" s="73">
        <f>+'[3]Vyhodnocení hosp. 1.pol. 2019'!P29</f>
        <v>6230880.1845459584</v>
      </c>
      <c r="Q29" s="70">
        <f>+'[3]Vyhodnocení hosp. 1.pol. 2019'!Q29</f>
        <v>0</v>
      </c>
      <c r="R29" s="70">
        <f>+'[3]Vyhodnocení hosp. 1.pol. 2019'!R29</f>
        <v>992756.86545404117</v>
      </c>
      <c r="S29" s="71">
        <f t="shared" ref="S29:S38" si="17">SUM(P29:R29)</f>
        <v>7223637.0499999998</v>
      </c>
      <c r="T29" s="72">
        <f>+'[3]Vyhodnocení hosp. 1.pol. 2019'!T29</f>
        <v>1170678.2899999998</v>
      </c>
      <c r="U29" s="19">
        <f t="shared" ref="U29:U38" si="18">S29+T29</f>
        <v>8394315.3399999999</v>
      </c>
      <c r="V29" s="73">
        <f>+'[4]Plán 2020'!P29</f>
        <v>9518710.0195216071</v>
      </c>
      <c r="W29" s="70">
        <f>+'[4]Plán 2020'!Q29</f>
        <v>0</v>
      </c>
      <c r="X29" s="70">
        <f>+'[4]Plán 2020'!R29</f>
        <v>1341289.980478392</v>
      </c>
      <c r="Y29" s="71">
        <f t="shared" ref="Y29:Y38" si="19">SUM(V29:X29)</f>
        <v>10860000</v>
      </c>
      <c r="Z29" s="72">
        <f>+'[1]Plán 2020'!T29</f>
        <v>2407500</v>
      </c>
      <c r="AA29" s="19">
        <f t="shared" ref="AA29:AA38" si="20">Y29+Z29</f>
        <v>13267500</v>
      </c>
      <c r="AB29" s="21">
        <f t="shared" si="12"/>
        <v>1.0264058042641322</v>
      </c>
      <c r="AC29" s="3"/>
      <c r="AD29" s="3"/>
    </row>
    <row r="30" spans="1:30" x14ac:dyDescent="0.25">
      <c r="A30" s="1"/>
      <c r="B30" s="22" t="s">
        <v>56</v>
      </c>
      <c r="C30" s="41" t="s">
        <v>57</v>
      </c>
      <c r="D30" s="74">
        <f>+'[1]Plán 2020'!D30</f>
        <v>7900432.1739481129</v>
      </c>
      <c r="E30" s="74">
        <f>+'[1]Plán 2020'!E30</f>
        <v>0</v>
      </c>
      <c r="F30" s="74">
        <f>+'[1]Plán 2020'!F30</f>
        <v>1190346.086051885</v>
      </c>
      <c r="G30" s="71">
        <f t="shared" si="13"/>
        <v>9090778.2599999979</v>
      </c>
      <c r="H30" s="71">
        <f>+'[1]Plán 2020'!H30</f>
        <v>53939.41</v>
      </c>
      <c r="I30" s="19">
        <f t="shared" si="14"/>
        <v>9144717.6699999981</v>
      </c>
      <c r="J30" s="75">
        <f>+'[2]NR 2019'!V30</f>
        <v>7717277</v>
      </c>
      <c r="K30" s="74">
        <f>+'[2]NR 2019'!W30</f>
        <v>0</v>
      </c>
      <c r="L30" s="74">
        <f>+'[2]NR 2019'!X30</f>
        <v>973740</v>
      </c>
      <c r="M30" s="71">
        <f t="shared" si="15"/>
        <v>8691017</v>
      </c>
      <c r="N30" s="71">
        <f>+'[2]NR 2019'!Z30</f>
        <v>44000</v>
      </c>
      <c r="O30" s="19">
        <f t="shared" si="16"/>
        <v>8735017</v>
      </c>
      <c r="P30" s="75">
        <f>+'[3]Vyhodnocení hosp. 1.pol. 2019'!P30</f>
        <v>3722320.0732189771</v>
      </c>
      <c r="Q30" s="74">
        <f>+'[3]Vyhodnocení hosp. 1.pol. 2019'!Q30</f>
        <v>0</v>
      </c>
      <c r="R30" s="74">
        <f>+'[3]Vyhodnocení hosp. 1.pol. 2019'!R30</f>
        <v>593071.71678102296</v>
      </c>
      <c r="S30" s="71">
        <f t="shared" si="17"/>
        <v>4315391.79</v>
      </c>
      <c r="T30" s="71">
        <f>+'[3]Vyhodnocení hosp. 1.pol. 2019'!T30</f>
        <v>37149.770000000004</v>
      </c>
      <c r="U30" s="19">
        <f t="shared" si="18"/>
        <v>4352541.5599999996</v>
      </c>
      <c r="V30" s="75">
        <f>+'[4]Plán 2020'!P30</f>
        <v>7675446.0074540256</v>
      </c>
      <c r="W30" s="74">
        <f>+'[4]Plán 2020'!Q30</f>
        <v>0</v>
      </c>
      <c r="X30" s="74">
        <f>+'[4]Plán 2020'!R30</f>
        <v>1081553.9925459742</v>
      </c>
      <c r="Y30" s="71">
        <f t="shared" si="19"/>
        <v>8757000</v>
      </c>
      <c r="Z30" s="71">
        <f>+'[1]Plán 2020'!T30</f>
        <v>65000</v>
      </c>
      <c r="AA30" s="19">
        <f t="shared" si="20"/>
        <v>8822000</v>
      </c>
      <c r="AB30" s="21">
        <f t="shared" si="12"/>
        <v>1.0099579657372162</v>
      </c>
      <c r="AC30" s="3"/>
      <c r="AD30" s="3"/>
    </row>
    <row r="31" spans="1:30" x14ac:dyDescent="0.25">
      <c r="A31" s="1"/>
      <c r="B31" s="22" t="s">
        <v>58</v>
      </c>
      <c r="C31" s="41" t="s">
        <v>59</v>
      </c>
      <c r="D31" s="74">
        <f>+'[1]Plán 2020'!D31</f>
        <v>26480881.626467392</v>
      </c>
      <c r="E31" s="74">
        <f>+'[1]Plán 2020'!E31</f>
        <v>0</v>
      </c>
      <c r="F31" s="74">
        <f>+'[1]Plán 2020'!F31</f>
        <v>3989834.1135326046</v>
      </c>
      <c r="G31" s="71">
        <f t="shared" si="13"/>
        <v>30470715.739999995</v>
      </c>
      <c r="H31" s="71">
        <f>+'[1]Plán 2020'!H31</f>
        <v>3946598.0500000003</v>
      </c>
      <c r="I31" s="19">
        <f t="shared" si="14"/>
        <v>34417313.789999992</v>
      </c>
      <c r="J31" s="75">
        <f>+'[2]NR 2019'!V31</f>
        <v>26883658.670000002</v>
      </c>
      <c r="K31" s="74">
        <f>+'[2]NR 2019'!W31</f>
        <v>0</v>
      </c>
      <c r="L31" s="74">
        <f>+'[2]NR 2019'!X31</f>
        <v>3657851.5</v>
      </c>
      <c r="M31" s="71">
        <f t="shared" si="15"/>
        <v>30541510.170000002</v>
      </c>
      <c r="N31" s="71">
        <f>+'[2]NR 2019'!Z31</f>
        <v>3858400</v>
      </c>
      <c r="O31" s="19">
        <f t="shared" si="16"/>
        <v>34399910.170000002</v>
      </c>
      <c r="P31" s="75">
        <f>+'[3]Vyhodnocení hosp. 1.pol. 2019'!P31</f>
        <v>14141389.171971535</v>
      </c>
      <c r="Q31" s="74">
        <f>+'[3]Vyhodnocení hosp. 1.pol. 2019'!Q31</f>
        <v>0</v>
      </c>
      <c r="R31" s="74">
        <f>+'[3]Vyhodnocení hosp. 1.pol. 2019'!R31</f>
        <v>2253126.4880284634</v>
      </c>
      <c r="S31" s="71">
        <f t="shared" si="17"/>
        <v>16394515.659999998</v>
      </c>
      <c r="T31" s="71">
        <f>+'[3]Vyhodnocení hosp. 1.pol. 2019'!T31</f>
        <v>2011804.0700000003</v>
      </c>
      <c r="U31" s="19">
        <f t="shared" si="18"/>
        <v>18406319.729999997</v>
      </c>
      <c r="V31" s="75">
        <f>+'[4]Plán 2020'!P31</f>
        <v>25698764.067437712</v>
      </c>
      <c r="W31" s="74">
        <f>+'[4]Plán 2020'!Q31</f>
        <v>0</v>
      </c>
      <c r="X31" s="74">
        <f>+'[4]Plán 2020'!R31</f>
        <v>3621235.9325622888</v>
      </c>
      <c r="Y31" s="71">
        <f t="shared" si="19"/>
        <v>29320000</v>
      </c>
      <c r="Z31" s="71">
        <f>+'[1]Plán 2020'!T31</f>
        <v>4296180</v>
      </c>
      <c r="AA31" s="19">
        <f t="shared" si="20"/>
        <v>33616180</v>
      </c>
      <c r="AB31" s="21">
        <f t="shared" si="12"/>
        <v>0.97721708672706098</v>
      </c>
      <c r="AC31" s="3"/>
      <c r="AD31" s="3"/>
    </row>
    <row r="32" spans="1:30" x14ac:dyDescent="0.25">
      <c r="A32" s="1"/>
      <c r="B32" s="22" t="s">
        <v>60</v>
      </c>
      <c r="C32" s="41" t="s">
        <v>61</v>
      </c>
      <c r="D32" s="74">
        <f>+'[1]Plán 2020'!D32</f>
        <v>40138795.633797742</v>
      </c>
      <c r="E32" s="74">
        <f>+'[1]Plán 2020'!E32</f>
        <v>988254</v>
      </c>
      <c r="F32" s="74">
        <f>+'[1]Plán 2020'!F32</f>
        <v>6196549.9462022558</v>
      </c>
      <c r="G32" s="71">
        <f t="shared" si="13"/>
        <v>47323599.579999998</v>
      </c>
      <c r="H32" s="71">
        <f>+'[1]Plán 2020'!H32</f>
        <v>2653082.42</v>
      </c>
      <c r="I32" s="19">
        <f t="shared" si="14"/>
        <v>49976682</v>
      </c>
      <c r="J32" s="163">
        <f>+'[2]NR 2019'!V32</f>
        <v>47214454.68</v>
      </c>
      <c r="K32" s="74">
        <f>+'[2]NR 2019'!W32</f>
        <v>1510000</v>
      </c>
      <c r="L32" s="74">
        <f>+'[2]NR 2019'!X32</f>
        <v>5863695.0999999996</v>
      </c>
      <c r="M32" s="71">
        <f t="shared" si="15"/>
        <v>54588149.780000001</v>
      </c>
      <c r="N32" s="71">
        <f>+'[2]NR 2019'!Z32</f>
        <v>2740259.1</v>
      </c>
      <c r="O32" s="19">
        <f t="shared" si="16"/>
        <v>57328408.880000003</v>
      </c>
      <c r="P32" s="75">
        <f>+'[3]Vyhodnocení hosp. 1.pol. 2019'!P32</f>
        <v>20847091.915326603</v>
      </c>
      <c r="Q32" s="74">
        <f>+'[3]Vyhodnocení hosp. 1.pol. 2019'!Q32</f>
        <v>77500</v>
      </c>
      <c r="R32" s="74">
        <f>+'[3]Vyhodnocení hosp. 1.pol. 2019'!R32</f>
        <v>3333884.0846733968</v>
      </c>
      <c r="S32" s="71">
        <f t="shared" si="17"/>
        <v>24258476</v>
      </c>
      <c r="T32" s="71">
        <f>+'[3]Vyhodnocení hosp. 1.pol. 2019'!T32</f>
        <v>1279875</v>
      </c>
      <c r="U32" s="19">
        <f t="shared" si="18"/>
        <v>25538351</v>
      </c>
      <c r="V32" s="163">
        <f>+'[4]Plán 2020'!P32</f>
        <v>51600269.728187494</v>
      </c>
      <c r="W32" s="74">
        <f>+'[4]Plán 2020'!Q32</f>
        <v>450000</v>
      </c>
      <c r="X32" s="74">
        <f>+'[4]Plán 2020'!R32</f>
        <v>7334450.2694624998</v>
      </c>
      <c r="Y32" s="71">
        <f t="shared" si="19"/>
        <v>59384719.997649997</v>
      </c>
      <c r="Z32" s="71">
        <f>+'[1]Plán 2020'!T32</f>
        <v>2711000</v>
      </c>
      <c r="AA32" s="19">
        <f t="shared" si="20"/>
        <v>62095719.997649997</v>
      </c>
      <c r="AB32" s="21">
        <f t="shared" si="12"/>
        <v>1.0831579178767885</v>
      </c>
      <c r="AC32" s="3"/>
      <c r="AD32" s="3"/>
    </row>
    <row r="33" spans="1:30" x14ac:dyDescent="0.25">
      <c r="A33" s="1"/>
      <c r="B33" s="22" t="s">
        <v>62</v>
      </c>
      <c r="C33" s="35" t="s">
        <v>63</v>
      </c>
      <c r="D33" s="74">
        <f>+'[1]Plán 2020'!D33</f>
        <v>39547812.206871517</v>
      </c>
      <c r="E33" s="74">
        <f>+'[1]Plán 2020'!E33</f>
        <v>988254</v>
      </c>
      <c r="F33" s="74">
        <f>+'[1]Plán 2020'!F33</f>
        <v>6107507.3731284831</v>
      </c>
      <c r="G33" s="71">
        <f t="shared" si="13"/>
        <v>46643573.579999998</v>
      </c>
      <c r="H33" s="71">
        <f>+'[1]Plán 2020'!H33</f>
        <v>2653082.42</v>
      </c>
      <c r="I33" s="19">
        <f t="shared" si="14"/>
        <v>49296656</v>
      </c>
      <c r="J33" s="163">
        <f>+'[2]NR 2019'!V33</f>
        <v>46521310.539999999</v>
      </c>
      <c r="K33" s="74">
        <f>+'[2]NR 2019'!W33</f>
        <v>1510000</v>
      </c>
      <c r="L33" s="74">
        <f>+'[2]NR 2019'!X33</f>
        <v>5769175.4000000004</v>
      </c>
      <c r="M33" s="71">
        <f t="shared" si="15"/>
        <v>53800485.939999998</v>
      </c>
      <c r="N33" s="71">
        <f>+'[2]NR 2019'!Z33</f>
        <v>2737037.6</v>
      </c>
      <c r="O33" s="19">
        <f t="shared" si="16"/>
        <v>56537523.539999999</v>
      </c>
      <c r="P33" s="75">
        <f>+'[3]Vyhodnocení hosp. 1.pol. 2019'!P33</f>
        <v>20463958.924483567</v>
      </c>
      <c r="Q33" s="74">
        <f>+'[3]Vyhodnocení hosp. 1.pol. 2019'!Q33</f>
        <v>77500</v>
      </c>
      <c r="R33" s="74">
        <f>+'[3]Vyhodnocení hosp. 1.pol. 2019'!R33</f>
        <v>3272840.0755164335</v>
      </c>
      <c r="S33" s="71">
        <f t="shared" si="17"/>
        <v>23814299</v>
      </c>
      <c r="T33" s="71">
        <f>+'[3]Vyhodnocení hosp. 1.pol. 2019'!T33</f>
        <v>1279875</v>
      </c>
      <c r="U33" s="19">
        <f t="shared" si="18"/>
        <v>25094174</v>
      </c>
      <c r="V33" s="163">
        <f>+'[4]Plán 2020'!P33</f>
        <v>50903458.083112016</v>
      </c>
      <c r="W33" s="74">
        <f>+'[4]Plán 2020'!Q33</f>
        <v>450000</v>
      </c>
      <c r="X33" s="74">
        <f>+'[4]Plán 2020'!R33</f>
        <v>7236261.9145379765</v>
      </c>
      <c r="Y33" s="71">
        <f t="shared" si="19"/>
        <v>58589719.99764999</v>
      </c>
      <c r="Z33" s="71">
        <f>+'[1]Plán 2020'!T33</f>
        <v>2711000</v>
      </c>
      <c r="AA33" s="19">
        <f t="shared" si="20"/>
        <v>61300719.99764999</v>
      </c>
      <c r="AB33" s="21">
        <f t="shared" si="12"/>
        <v>1.0842484098950682</v>
      </c>
      <c r="AC33" s="3"/>
      <c r="AD33" s="3"/>
    </row>
    <row r="34" spans="1:30" x14ac:dyDescent="0.25">
      <c r="A34" s="1"/>
      <c r="B34" s="22" t="s">
        <v>64</v>
      </c>
      <c r="C34" s="76" t="s">
        <v>65</v>
      </c>
      <c r="D34" s="74">
        <f>+'[1]Plán 2020'!D34</f>
        <v>590983.4269262267</v>
      </c>
      <c r="E34" s="74">
        <f>+'[1]Plán 2020'!E34</f>
        <v>0</v>
      </c>
      <c r="F34" s="74">
        <f>+'[1]Plán 2020'!F34</f>
        <v>89042.573073773267</v>
      </c>
      <c r="G34" s="71">
        <f t="shared" si="13"/>
        <v>680026</v>
      </c>
      <c r="H34" s="71">
        <f>+'[1]Plán 2020'!H34</f>
        <v>0</v>
      </c>
      <c r="I34" s="19">
        <f t="shared" si="14"/>
        <v>680026</v>
      </c>
      <c r="J34" s="163">
        <f>+'[2]NR 2019'!V34</f>
        <v>693144.14</v>
      </c>
      <c r="K34" s="74">
        <f>+'[2]NR 2019'!W34</f>
        <v>0</v>
      </c>
      <c r="L34" s="74">
        <f>+'[2]NR 2019'!X34</f>
        <v>94519.7</v>
      </c>
      <c r="M34" s="71">
        <f>SUM(J34:L34)</f>
        <v>787663.84</v>
      </c>
      <c r="N34" s="71">
        <f>+'[2]NR 2019'!Z34</f>
        <v>15000</v>
      </c>
      <c r="O34" s="19">
        <f t="shared" si="16"/>
        <v>802663.84</v>
      </c>
      <c r="P34" s="75">
        <f>+'[3]Vyhodnocení hosp. 1.pol. 2019'!P34</f>
        <v>383132.99084303668</v>
      </c>
      <c r="Q34" s="74">
        <f>+'[3]Vyhodnocení hosp. 1.pol. 2019'!Q34</f>
        <v>0</v>
      </c>
      <c r="R34" s="74">
        <f>+'[3]Vyhodnocení hosp. 1.pol. 2019'!R34</f>
        <v>61044.009156963337</v>
      </c>
      <c r="S34" s="71">
        <f t="shared" si="17"/>
        <v>444177</v>
      </c>
      <c r="T34" s="71">
        <f>+'[3]Vyhodnocení hosp. 1.pol. 2019'!T34</f>
        <v>0</v>
      </c>
      <c r="U34" s="19">
        <f t="shared" si="18"/>
        <v>444177</v>
      </c>
      <c r="V34" s="163">
        <f>+'[4]Plán 2020'!P34</f>
        <v>696811.64507547684</v>
      </c>
      <c r="W34" s="74">
        <f>+'[4]Plán 2020'!Q34</f>
        <v>0</v>
      </c>
      <c r="X34" s="74">
        <f>+'[4]Plán 2020'!R34</f>
        <v>98188.35492452317</v>
      </c>
      <c r="Y34" s="71">
        <f t="shared" si="19"/>
        <v>795000</v>
      </c>
      <c r="Z34" s="71">
        <f>+'[1]Plán 2020'!T34</f>
        <v>0</v>
      </c>
      <c r="AA34" s="19">
        <f t="shared" si="20"/>
        <v>795000</v>
      </c>
      <c r="AB34" s="21">
        <f t="shared" si="12"/>
        <v>0.99045199295386221</v>
      </c>
      <c r="AC34" s="3"/>
      <c r="AD34" s="3"/>
    </row>
    <row r="35" spans="1:30" x14ac:dyDescent="0.25">
      <c r="A35" s="1"/>
      <c r="B35" s="22" t="s">
        <v>66</v>
      </c>
      <c r="C35" s="41" t="s">
        <v>67</v>
      </c>
      <c r="D35" s="74">
        <f>+'[1]Plán 2020'!D35</f>
        <v>14795868.527845848</v>
      </c>
      <c r="E35" s="74">
        <f>+'[1]Plán 2020'!E35</f>
        <v>0</v>
      </c>
      <c r="F35" s="74">
        <f>+'[1]Plán 2020'!F35</f>
        <v>2229270.9821541519</v>
      </c>
      <c r="G35" s="71">
        <f t="shared" si="13"/>
        <v>17025139.510000002</v>
      </c>
      <c r="H35" s="71">
        <f>+'[1]Plán 2020'!H35</f>
        <v>959914.48</v>
      </c>
      <c r="I35" s="19">
        <f t="shared" si="14"/>
        <v>17985053.990000002</v>
      </c>
      <c r="J35" s="163">
        <f>+'[2]NR 2019'!V35</f>
        <v>17586259.380000003</v>
      </c>
      <c r="K35" s="74">
        <f>+'[2]NR 2019'!W35</f>
        <v>0</v>
      </c>
      <c r="L35" s="74">
        <f>+'[2]NR 2019'!X35</f>
        <v>2236280.1</v>
      </c>
      <c r="M35" s="71">
        <f t="shared" si="15"/>
        <v>19822539.480000004</v>
      </c>
      <c r="N35" s="71">
        <f>+'[2]NR 2019'!Z35</f>
        <v>985753.5</v>
      </c>
      <c r="O35" s="19">
        <f t="shared" si="16"/>
        <v>20808292.980000004</v>
      </c>
      <c r="P35" s="75">
        <f>+'[3]Vyhodnocení hosp. 1.pol. 2019'!P35</f>
        <v>7496276.4164024796</v>
      </c>
      <c r="Q35" s="74">
        <f>+'[3]Vyhodnocení hosp. 1.pol. 2019'!Q35</f>
        <v>0</v>
      </c>
      <c r="R35" s="74">
        <f>+'[3]Vyhodnocení hosp. 1.pol. 2019'!R35</f>
        <v>1194370.5635975203</v>
      </c>
      <c r="S35" s="71">
        <f t="shared" si="17"/>
        <v>8690646.9800000004</v>
      </c>
      <c r="T35" s="71">
        <f>+'[3]Vyhodnocení hosp. 1.pol. 2019'!T35</f>
        <v>466218.48</v>
      </c>
      <c r="U35" s="19">
        <f t="shared" si="18"/>
        <v>9156865.4600000009</v>
      </c>
      <c r="V35" s="163">
        <f>+'[4]Plán 2020'!P35</f>
        <v>18633996.562691126</v>
      </c>
      <c r="W35" s="74">
        <f>+'[4]Plán 2020'!Q35</f>
        <v>0</v>
      </c>
      <c r="X35" s="74">
        <f>+'[4]Plán 2020'!R35</f>
        <v>2625733.1964675752</v>
      </c>
      <c r="Y35" s="71">
        <f t="shared" si="19"/>
        <v>21259729.759158701</v>
      </c>
      <c r="Z35" s="71">
        <f>+'[1]Plán 2020'!T35</f>
        <v>978838</v>
      </c>
      <c r="AA35" s="19">
        <f t="shared" si="20"/>
        <v>22238567.759158701</v>
      </c>
      <c r="AB35" s="21">
        <f t="shared" si="12"/>
        <v>1.0687358055047289</v>
      </c>
      <c r="AC35" s="3"/>
      <c r="AD35" s="3"/>
    </row>
    <row r="36" spans="1:30" x14ac:dyDescent="0.25">
      <c r="A36" s="1"/>
      <c r="B36" s="22" t="s">
        <v>68</v>
      </c>
      <c r="C36" s="41" t="s">
        <v>69</v>
      </c>
      <c r="D36" s="74">
        <f>+'[1]Plán 2020'!D36</f>
        <v>65945.892751653853</v>
      </c>
      <c r="E36" s="74">
        <f>+'[1]Plán 2020'!E36</f>
        <v>0</v>
      </c>
      <c r="F36" s="74">
        <f>+'[1]Plán 2020'!F36</f>
        <v>9935.96724834614</v>
      </c>
      <c r="G36" s="71">
        <f t="shared" si="13"/>
        <v>75881.859999999986</v>
      </c>
      <c r="H36" s="71">
        <f>+'[1]Plán 2020'!H36</f>
        <v>358684</v>
      </c>
      <c r="I36" s="19">
        <f t="shared" si="14"/>
        <v>434565.86</v>
      </c>
      <c r="J36" s="75">
        <f>+'[2]NR 2019'!V36</f>
        <v>122848</v>
      </c>
      <c r="K36" s="74">
        <f>+'[2]NR 2019'!W36</f>
        <v>0</v>
      </c>
      <c r="L36" s="74">
        <f>+'[2]NR 2019'!X36</f>
        <v>16752</v>
      </c>
      <c r="M36" s="71">
        <f t="shared" si="15"/>
        <v>139600</v>
      </c>
      <c r="N36" s="71">
        <f>+'[2]NR 2019'!Z36</f>
        <v>338500</v>
      </c>
      <c r="O36" s="19">
        <f t="shared" si="16"/>
        <v>478100</v>
      </c>
      <c r="P36" s="75">
        <f>+'[3]Vyhodnocení hosp. 1.pol. 2019'!P36</f>
        <v>51577.787835151044</v>
      </c>
      <c r="Q36" s="74">
        <f>+'[3]Vyhodnocení hosp. 1.pol. 2019'!Q36</f>
        <v>0</v>
      </c>
      <c r="R36" s="74">
        <f>+'[3]Vyhodnocení hosp. 1.pol. 2019'!R36</f>
        <v>8217.8121648489614</v>
      </c>
      <c r="S36" s="71">
        <f t="shared" si="17"/>
        <v>59795.600000000006</v>
      </c>
      <c r="T36" s="71">
        <f>+'[3]Vyhodnocení hosp. 1.pol. 2019'!T36</f>
        <v>3000</v>
      </c>
      <c r="U36" s="19">
        <f t="shared" si="18"/>
        <v>62795.600000000006</v>
      </c>
      <c r="V36" s="75">
        <f>+'[4]Plán 2020'!P36</f>
        <v>64071.611641531264</v>
      </c>
      <c r="W36" s="74">
        <f>+'[4]Plán 2020'!Q36</f>
        <v>0</v>
      </c>
      <c r="X36" s="74">
        <f>+'[4]Plán 2020'!R36</f>
        <v>9028.3883584687355</v>
      </c>
      <c r="Y36" s="71">
        <f t="shared" si="19"/>
        <v>73100</v>
      </c>
      <c r="Z36" s="71">
        <f>+'[1]Plán 2020'!T36</f>
        <v>360100</v>
      </c>
      <c r="AA36" s="19">
        <f t="shared" si="20"/>
        <v>433200</v>
      </c>
      <c r="AB36" s="21">
        <f t="shared" si="12"/>
        <v>0.90608659276302028</v>
      </c>
      <c r="AC36" s="3"/>
      <c r="AD36" s="3"/>
    </row>
    <row r="37" spans="1:30" x14ac:dyDescent="0.25">
      <c r="A37" s="1"/>
      <c r="B37" s="22" t="s">
        <v>70</v>
      </c>
      <c r="C37" s="41" t="s">
        <v>71</v>
      </c>
      <c r="D37" s="74">
        <f>+'[1]Plán 2020'!D37</f>
        <v>9187233.1502037998</v>
      </c>
      <c r="E37" s="74">
        <f>+'[1]Plán 2020'!E37</f>
        <v>0</v>
      </c>
      <c r="F37" s="74">
        <f>+'[1]Plán 2020'!F37</f>
        <v>1384226.4297961995</v>
      </c>
      <c r="G37" s="71">
        <f t="shared" si="13"/>
        <v>10571459.58</v>
      </c>
      <c r="H37" s="71">
        <f>+'[1]Plán 2020'!H37</f>
        <v>1139539.4200000002</v>
      </c>
      <c r="I37" s="19">
        <f t="shared" si="14"/>
        <v>11710999</v>
      </c>
      <c r="J37" s="75">
        <f>+'[2]NR 2019'!V37</f>
        <v>9860208</v>
      </c>
      <c r="K37" s="74">
        <f>+'[2]NR 2019'!W37</f>
        <v>0</v>
      </c>
      <c r="L37" s="74">
        <f>+'[2]NR 2019'!X37</f>
        <v>921792</v>
      </c>
      <c r="M37" s="71">
        <f t="shared" si="15"/>
        <v>10782000</v>
      </c>
      <c r="N37" s="71">
        <f>+'[2]NR 2019'!Z37</f>
        <v>1501500</v>
      </c>
      <c r="O37" s="19">
        <f t="shared" si="16"/>
        <v>12283500</v>
      </c>
      <c r="P37" s="75">
        <f>+'[3]Vyhodnocení hosp. 1.pol. 2019'!P37</f>
        <v>5388258.5632650303</v>
      </c>
      <c r="Q37" s="74">
        <f>+'[3]Vyhodnocení hosp. 1.pol. 2019'!Q37</f>
        <v>0</v>
      </c>
      <c r="R37" s="74">
        <f>+'[3]Vyhodnocení hosp. 1.pol. 2019'!R37</f>
        <v>858503.21673496964</v>
      </c>
      <c r="S37" s="71">
        <f t="shared" si="17"/>
        <v>6246761.7800000003</v>
      </c>
      <c r="T37" s="71">
        <f>+'[3]Vyhodnocení hosp. 1.pol. 2019'!T37</f>
        <v>600987.22</v>
      </c>
      <c r="U37" s="19">
        <f t="shared" si="18"/>
        <v>6847749</v>
      </c>
      <c r="V37" s="75">
        <f>+'[4]Plán 2020'!P37</f>
        <v>12299966.649153771</v>
      </c>
      <c r="W37" s="74">
        <f>+'[4]Plán 2020'!Q37</f>
        <v>0</v>
      </c>
      <c r="X37" s="74">
        <f>+'[4]Plán 2020'!R37</f>
        <v>1733199.350846228</v>
      </c>
      <c r="Y37" s="71">
        <f t="shared" si="19"/>
        <v>14033165.999999998</v>
      </c>
      <c r="Z37" s="71">
        <f>+'[1]Plán 2020'!T37</f>
        <v>1288200</v>
      </c>
      <c r="AA37" s="19">
        <f t="shared" si="20"/>
        <v>15321365.999999998</v>
      </c>
      <c r="AB37" s="21">
        <f t="shared" si="12"/>
        <v>1.2473127365978751</v>
      </c>
      <c r="AC37" s="3"/>
      <c r="AD37" s="3"/>
    </row>
    <row r="38" spans="1:30" ht="15.75" thickBot="1" x14ac:dyDescent="0.3">
      <c r="A38" s="1"/>
      <c r="B38" s="77" t="s">
        <v>72</v>
      </c>
      <c r="C38" s="78" t="s">
        <v>73</v>
      </c>
      <c r="D38" s="79">
        <f>+'[1]Plán 2020'!D38</f>
        <v>7214836.3263785858</v>
      </c>
      <c r="E38" s="79">
        <f>+'[1]Plán 2020'!E38</f>
        <v>0</v>
      </c>
      <c r="F38" s="79">
        <f>+'[1]Plán 2020'!F38</f>
        <v>1087048.4036214338</v>
      </c>
      <c r="G38" s="71">
        <f t="shared" si="13"/>
        <v>8301884.7300000191</v>
      </c>
      <c r="H38" s="80">
        <f>+'[1]Plán 2020'!H38</f>
        <v>1855637.2400000005</v>
      </c>
      <c r="I38" s="49">
        <f t="shared" si="14"/>
        <v>10157521.970000019</v>
      </c>
      <c r="J38" s="81">
        <f>+'[2]NR 2019'!V38</f>
        <v>6602140.4900000002</v>
      </c>
      <c r="K38" s="79">
        <f>+'[2]NR 2019'!W38</f>
        <v>0</v>
      </c>
      <c r="L38" s="79">
        <f>+'[2]NR 2019'!X38</f>
        <v>900708.5</v>
      </c>
      <c r="M38" s="80">
        <f t="shared" si="15"/>
        <v>7502848.9900000002</v>
      </c>
      <c r="N38" s="80">
        <f>+'[2]NR 2019'!Z38</f>
        <v>2320000</v>
      </c>
      <c r="O38" s="49">
        <f t="shared" si="16"/>
        <v>9822848.9900000002</v>
      </c>
      <c r="P38" s="81">
        <f>+'[3]Vyhodnocení hosp. 1.pol. 2019'!P38</f>
        <v>4846447.9170661876</v>
      </c>
      <c r="Q38" s="79">
        <f>+'[3]Vyhodnocení hosp. 1.pol. 2019'!Q38</f>
        <v>0</v>
      </c>
      <c r="R38" s="79">
        <f>+'[3]Vyhodnocení hosp. 1.pol. 2019'!R38</f>
        <v>772177.33293382137</v>
      </c>
      <c r="S38" s="80">
        <f t="shared" si="17"/>
        <v>5618625.2500000093</v>
      </c>
      <c r="T38" s="80">
        <f>+'[3]Vyhodnocení hosp. 1.pol. 2019'!T38</f>
        <v>923083.84000000008</v>
      </c>
      <c r="U38" s="49">
        <f t="shared" si="18"/>
        <v>6541709.0900000092</v>
      </c>
      <c r="V38" s="81">
        <f>+'[4]Plán 2020'!P38</f>
        <v>6312763.2684331294</v>
      </c>
      <c r="W38" s="79">
        <f>+'[4]Plán 2020'!Q38</f>
        <v>0</v>
      </c>
      <c r="X38" s="79">
        <f>+'[4]Plán 2020'!R38</f>
        <v>889537.14355371543</v>
      </c>
      <c r="Y38" s="80">
        <f t="shared" si="19"/>
        <v>7202300.4119868446</v>
      </c>
      <c r="Z38" s="80">
        <f>+'[1]Plán 2020'!T38</f>
        <v>1840182</v>
      </c>
      <c r="AA38" s="49">
        <f t="shared" si="20"/>
        <v>9042482.4119868446</v>
      </c>
      <c r="AB38" s="51">
        <f t="shared" si="12"/>
        <v>0.92055598342114431</v>
      </c>
      <c r="AC38" s="3"/>
      <c r="AD38" s="3"/>
    </row>
    <row r="39" spans="1:30" ht="15.75" thickBot="1" x14ac:dyDescent="0.3">
      <c r="A39" s="1"/>
      <c r="B39" s="52" t="s">
        <v>74</v>
      </c>
      <c r="C39" s="82" t="s">
        <v>75</v>
      </c>
      <c r="D39" s="83">
        <f>SUM(D35:D38)+SUM(D28:D32)</f>
        <v>120343834.04119569</v>
      </c>
      <c r="E39" s="83">
        <f>SUM(E35:E38)+SUM(E28:E32)</f>
        <v>988254</v>
      </c>
      <c r="F39" s="83">
        <f>SUM(F35:F38)+SUM(F28:F32)</f>
        <v>18280920.958804317</v>
      </c>
      <c r="G39" s="84">
        <f>SUM(D39:F39)</f>
        <v>139613009</v>
      </c>
      <c r="H39" s="85">
        <f>SUM(H28:H32)+SUM(H35:H38)</f>
        <v>13317234.700000001</v>
      </c>
      <c r="I39" s="86">
        <f>SUM(I35:I38)+SUM(I28:I32)</f>
        <v>152930243.70000002</v>
      </c>
      <c r="J39" s="83">
        <f>SUM(J35:J38)+SUM(J28:J32)</f>
        <v>128047587.40000001</v>
      </c>
      <c r="K39" s="83">
        <f>SUM(K35:K38)+SUM(K28:K32)</f>
        <v>1510000</v>
      </c>
      <c r="L39" s="83">
        <f>SUM(L35:L38)+SUM(L28:L32)</f>
        <v>16171791.999999998</v>
      </c>
      <c r="M39" s="84">
        <f>SUM(J39:L39)</f>
        <v>145729379.40000001</v>
      </c>
      <c r="N39" s="85">
        <f>SUM(N28:N32)+SUM(N35:N38)</f>
        <v>13839412.6</v>
      </c>
      <c r="O39" s="86">
        <f>SUM(O35:O38)+SUM(O28:O32)</f>
        <v>159568792</v>
      </c>
      <c r="P39" s="83">
        <f>SUM(P35:P38)+SUM(P28:P32)</f>
        <v>64999601.596586555</v>
      </c>
      <c r="Q39" s="83">
        <f>SUM(Q35:Q38)+SUM(Q28:Q32)</f>
        <v>77500</v>
      </c>
      <c r="R39" s="83">
        <f>SUM(R35:R38)+SUM(R28:R32)</f>
        <v>10368637.733413458</v>
      </c>
      <c r="S39" s="84">
        <f>SUM(P39:R39)</f>
        <v>75445739.330000013</v>
      </c>
      <c r="T39" s="85">
        <f>SUM(T28:T32)+SUM(T35:T38)</f>
        <v>6513712.4500000002</v>
      </c>
      <c r="U39" s="86">
        <f>SUM(U35:U38)+SUM(U28:U32)</f>
        <v>81959451.780000001</v>
      </c>
      <c r="V39" s="83">
        <f>SUM(V35:V38)+SUM(V28:V32)</f>
        <v>134526723.61136675</v>
      </c>
      <c r="W39" s="83">
        <f>SUM(W35:W38)+SUM(W28:W32)</f>
        <v>450000</v>
      </c>
      <c r="X39" s="83">
        <f>SUM(X35:X38)+SUM(X28:X32)</f>
        <v>19019691.387428805</v>
      </c>
      <c r="Y39" s="84">
        <f>SUM(V39:X39)</f>
        <v>153996414.99879557</v>
      </c>
      <c r="Z39" s="85">
        <f>SUM(Z28:Z32)+SUM(Z35:Z38)</f>
        <v>13985000</v>
      </c>
      <c r="AA39" s="86">
        <f>SUM(AA35:AA38)+SUM(AA28:AA32)</f>
        <v>167981414.99879554</v>
      </c>
      <c r="AB39" s="87">
        <f t="shared" si="12"/>
        <v>1.0527209794180528</v>
      </c>
      <c r="AC39" s="3"/>
      <c r="AD39" s="3"/>
    </row>
    <row r="40" spans="1:30" ht="19.5" thickBot="1" x14ac:dyDescent="0.35">
      <c r="A40" s="1"/>
      <c r="B40" s="88" t="s">
        <v>76</v>
      </c>
      <c r="C40" s="89" t="s">
        <v>77</v>
      </c>
      <c r="D40" s="90">
        <f t="shared" ref="D40:AA40" si="21">D24-D39</f>
        <v>117165.95880430937</v>
      </c>
      <c r="E40" s="90">
        <f t="shared" si="21"/>
        <v>0</v>
      </c>
      <c r="F40" s="90">
        <f t="shared" si="21"/>
        <v>-1119499.5088043138</v>
      </c>
      <c r="G40" s="91">
        <f t="shared" si="21"/>
        <v>-1002333.5500000119</v>
      </c>
      <c r="H40" s="91">
        <f t="shared" si="21"/>
        <v>1136115.2599999961</v>
      </c>
      <c r="I40" s="92">
        <f t="shared" si="21"/>
        <v>133781.70999997854</v>
      </c>
      <c r="J40" s="90">
        <f t="shared" si="21"/>
        <v>-647587.40000000596</v>
      </c>
      <c r="K40" s="90">
        <f t="shared" si="21"/>
        <v>0</v>
      </c>
      <c r="L40" s="90">
        <f t="shared" si="21"/>
        <v>0</v>
      </c>
      <c r="M40" s="91">
        <f t="shared" si="21"/>
        <v>-647587.40000000596</v>
      </c>
      <c r="N40" s="91">
        <f t="shared" si="21"/>
        <v>647587.40000000037</v>
      </c>
      <c r="O40" s="92">
        <f t="shared" si="21"/>
        <v>0</v>
      </c>
      <c r="P40" s="90">
        <f t="shared" si="21"/>
        <v>-1799601.5965865552</v>
      </c>
      <c r="Q40" s="90">
        <f t="shared" si="21"/>
        <v>0</v>
      </c>
      <c r="R40" s="90">
        <f t="shared" si="21"/>
        <v>-376575.80341346003</v>
      </c>
      <c r="S40" s="91">
        <f t="shared" si="21"/>
        <v>-2176177.4000000209</v>
      </c>
      <c r="T40" s="91">
        <f t="shared" si="21"/>
        <v>411899.38999999873</v>
      </c>
      <c r="U40" s="92">
        <f t="shared" si="21"/>
        <v>-1764278.0100000054</v>
      </c>
      <c r="V40" s="90">
        <f t="shared" si="21"/>
        <v>-488723.61136674881</v>
      </c>
      <c r="W40" s="90">
        <f t="shared" si="21"/>
        <v>811073</v>
      </c>
      <c r="X40" s="90">
        <f t="shared" si="21"/>
        <v>-1393349.3874288052</v>
      </c>
      <c r="Y40" s="91">
        <f t="shared" si="21"/>
        <v>-1070999.9987955689</v>
      </c>
      <c r="Z40" s="91">
        <f t="shared" si="21"/>
        <v>1071000</v>
      </c>
      <c r="AA40" s="92">
        <f t="shared" si="21"/>
        <v>1.2044608592987061E-3</v>
      </c>
      <c r="AB40" s="93" t="e">
        <f t="shared" si="12"/>
        <v>#DIV/0!</v>
      </c>
      <c r="AC40" s="3"/>
      <c r="AD40" s="3"/>
    </row>
    <row r="41" spans="1:30" ht="15.75" thickBot="1" x14ac:dyDescent="0.3">
      <c r="A41" s="1"/>
      <c r="B41" s="94" t="s">
        <v>78</v>
      </c>
      <c r="C41" s="95" t="s">
        <v>79</v>
      </c>
      <c r="D41" s="96"/>
      <c r="E41" s="97"/>
      <c r="F41" s="97"/>
      <c r="G41" s="98"/>
      <c r="H41" s="99"/>
      <c r="I41" s="100">
        <f>I40-D16</f>
        <v>-120327218.29000002</v>
      </c>
      <c r="J41" s="96"/>
      <c r="K41" s="97"/>
      <c r="L41" s="97"/>
      <c r="M41" s="98"/>
      <c r="N41" s="101"/>
      <c r="O41" s="100">
        <f>O40-J16</f>
        <v>-127400000</v>
      </c>
      <c r="P41" s="96"/>
      <c r="Q41" s="97"/>
      <c r="R41" s="97"/>
      <c r="S41" s="98"/>
      <c r="T41" s="101"/>
      <c r="U41" s="100">
        <f>U40-P16</f>
        <v>-64964278.010000005</v>
      </c>
      <c r="V41" s="96"/>
      <c r="W41" s="97"/>
      <c r="X41" s="97"/>
      <c r="Y41" s="98"/>
      <c r="Z41" s="101"/>
      <c r="AA41" s="100">
        <f>AA40-V16</f>
        <v>-134037999.99879554</v>
      </c>
      <c r="AB41" s="21">
        <f t="shared" si="12"/>
        <v>1.052103610665585</v>
      </c>
      <c r="AC41" s="3"/>
      <c r="AD41" s="3"/>
    </row>
    <row r="42" spans="1:30" s="108" customFormat="1" ht="8.25" customHeight="1" thickBot="1" x14ac:dyDescent="0.3">
      <c r="A42" s="102"/>
      <c r="B42" s="103"/>
      <c r="C42" s="104"/>
      <c r="D42" s="105"/>
      <c r="E42" s="106"/>
      <c r="F42" s="106"/>
      <c r="G42" s="102"/>
      <c r="H42" s="106"/>
      <c r="I42" s="106"/>
      <c r="J42" s="105"/>
      <c r="K42" s="106"/>
      <c r="L42" s="106"/>
      <c r="M42" s="102"/>
      <c r="N42" s="106"/>
      <c r="O42" s="106"/>
      <c r="P42" s="106"/>
      <c r="Q42" s="106"/>
      <c r="R42" s="106"/>
      <c r="S42" s="106"/>
      <c r="T42" s="106"/>
      <c r="U42" s="106"/>
      <c r="V42" s="107"/>
      <c r="W42" s="107"/>
      <c r="X42" s="107"/>
      <c r="Y42" s="107"/>
      <c r="Z42" s="107"/>
      <c r="AA42" s="107"/>
      <c r="AB42" s="107"/>
      <c r="AC42" s="107"/>
      <c r="AD42" s="107"/>
    </row>
    <row r="43" spans="1:30" s="108" customFormat="1" ht="15.75" customHeight="1" thickBot="1" x14ac:dyDescent="0.3">
      <c r="A43" s="102"/>
      <c r="B43" s="109"/>
      <c r="C43" s="201" t="s">
        <v>80</v>
      </c>
      <c r="D43" s="110" t="s">
        <v>81</v>
      </c>
      <c r="E43" s="111" t="s">
        <v>82</v>
      </c>
      <c r="F43" s="112" t="s">
        <v>83</v>
      </c>
      <c r="G43" s="106"/>
      <c r="H43" s="106"/>
      <c r="I43" s="113"/>
      <c r="J43" s="110" t="s">
        <v>81</v>
      </c>
      <c r="K43" s="111" t="s">
        <v>82</v>
      </c>
      <c r="L43" s="112" t="s">
        <v>83</v>
      </c>
      <c r="M43" s="106"/>
      <c r="N43" s="106"/>
      <c r="O43" s="106"/>
      <c r="P43" s="110" t="s">
        <v>81</v>
      </c>
      <c r="Q43" s="111" t="s">
        <v>82</v>
      </c>
      <c r="R43" s="112" t="s">
        <v>83</v>
      </c>
      <c r="S43" s="107"/>
      <c r="T43" s="107"/>
      <c r="U43" s="107"/>
      <c r="V43" s="110" t="s">
        <v>81</v>
      </c>
      <c r="W43" s="111" t="s">
        <v>82</v>
      </c>
      <c r="X43" s="112" t="s">
        <v>140</v>
      </c>
      <c r="Y43" s="107"/>
      <c r="Z43" s="107"/>
      <c r="AA43" s="107"/>
      <c r="AB43" s="107"/>
      <c r="AC43" s="107"/>
      <c r="AD43" s="107"/>
    </row>
    <row r="44" spans="1:30" ht="15.75" thickBot="1" x14ac:dyDescent="0.3">
      <c r="A44" s="1"/>
      <c r="B44" s="109"/>
      <c r="C44" s="202"/>
      <c r="D44" s="114">
        <v>0</v>
      </c>
      <c r="E44" s="115">
        <v>0</v>
      </c>
      <c r="F44" s="116">
        <v>0</v>
      </c>
      <c r="G44" s="106"/>
      <c r="H44" s="106"/>
      <c r="I44" s="113"/>
      <c r="J44" s="114">
        <v>0</v>
      </c>
      <c r="K44" s="115">
        <v>0</v>
      </c>
      <c r="L44" s="116">
        <v>0</v>
      </c>
      <c r="M44" s="117"/>
      <c r="N44" s="117"/>
      <c r="O44" s="117"/>
      <c r="P44" s="114">
        <v>0</v>
      </c>
      <c r="Q44" s="115"/>
      <c r="R44" s="116">
        <v>0</v>
      </c>
      <c r="S44" s="3"/>
      <c r="T44" s="3"/>
      <c r="U44" s="3"/>
      <c r="V44" s="114">
        <v>6638000</v>
      </c>
      <c r="W44" s="115">
        <v>0</v>
      </c>
      <c r="X44" s="116">
        <v>6638000</v>
      </c>
      <c r="Y44" s="3"/>
      <c r="Z44" s="3"/>
      <c r="AA44" s="3"/>
      <c r="AB44" s="3"/>
      <c r="AC44" s="3"/>
      <c r="AD44" s="3"/>
    </row>
    <row r="45" spans="1:30" s="108" customFormat="1" ht="8.25" customHeight="1" thickBot="1" x14ac:dyDescent="0.3">
      <c r="A45" s="102"/>
      <c r="B45" s="109"/>
      <c r="C45" s="104"/>
      <c r="D45" s="117"/>
      <c r="E45" s="106"/>
      <c r="F45" s="106"/>
      <c r="G45" s="106"/>
      <c r="H45" s="106"/>
      <c r="I45" s="113"/>
      <c r="J45" s="106"/>
      <c r="K45" s="106"/>
      <c r="L45" s="106"/>
      <c r="M45" s="106"/>
      <c r="N45" s="106"/>
      <c r="O45" s="113"/>
      <c r="P45" s="113"/>
      <c r="Q45" s="113"/>
      <c r="R45" s="113"/>
      <c r="S45" s="113"/>
      <c r="T45" s="113"/>
      <c r="U45" s="113"/>
      <c r="V45" s="107"/>
      <c r="W45" s="107"/>
      <c r="X45" s="107"/>
      <c r="Y45" s="107"/>
      <c r="Z45" s="107"/>
      <c r="AA45" s="107"/>
      <c r="AB45" s="107"/>
      <c r="AC45" s="107"/>
      <c r="AD45" s="107"/>
    </row>
    <row r="46" spans="1:30" s="108" customFormat="1" ht="37.5" customHeight="1" thickBot="1" x14ac:dyDescent="0.3">
      <c r="A46" s="102"/>
      <c r="B46" s="109"/>
      <c r="C46" s="201" t="s">
        <v>84</v>
      </c>
      <c r="D46" s="118" t="s">
        <v>85</v>
      </c>
      <c r="E46" s="119" t="s">
        <v>86</v>
      </c>
      <c r="F46" s="106"/>
      <c r="G46" s="106"/>
      <c r="H46" s="106"/>
      <c r="I46" s="113"/>
      <c r="J46" s="118" t="s">
        <v>85</v>
      </c>
      <c r="K46" s="119" t="s">
        <v>86</v>
      </c>
      <c r="L46" s="120"/>
      <c r="M46" s="120"/>
      <c r="N46" s="107"/>
      <c r="O46" s="107"/>
      <c r="P46" s="118" t="s">
        <v>85</v>
      </c>
      <c r="Q46" s="119" t="s">
        <v>86</v>
      </c>
      <c r="R46" s="107"/>
      <c r="S46" s="107"/>
      <c r="T46" s="107"/>
      <c r="U46" s="107"/>
      <c r="V46" s="118" t="s">
        <v>85</v>
      </c>
      <c r="W46" s="119" t="s">
        <v>86</v>
      </c>
      <c r="X46" s="107"/>
      <c r="Y46" s="107"/>
      <c r="Z46" s="107"/>
      <c r="AA46" s="107"/>
      <c r="AB46" s="107"/>
      <c r="AC46" s="107"/>
      <c r="AD46" s="107"/>
    </row>
    <row r="47" spans="1:30" ht="15.75" thickBot="1" x14ac:dyDescent="0.3">
      <c r="A47" s="1"/>
      <c r="B47" s="121"/>
      <c r="C47" s="203"/>
      <c r="D47" s="114">
        <v>5000000</v>
      </c>
      <c r="E47" s="122">
        <v>0</v>
      </c>
      <c r="F47" s="106"/>
      <c r="G47" s="106"/>
      <c r="H47" s="106"/>
      <c r="I47" s="113"/>
      <c r="J47" s="114">
        <v>5000000</v>
      </c>
      <c r="K47" s="122">
        <v>0</v>
      </c>
      <c r="L47" s="123"/>
      <c r="M47" s="123"/>
      <c r="N47" s="3"/>
      <c r="O47" s="3"/>
      <c r="P47" s="114">
        <v>0</v>
      </c>
      <c r="Q47" s="122">
        <v>0</v>
      </c>
      <c r="R47" s="3"/>
      <c r="S47" s="3"/>
      <c r="T47" s="3"/>
      <c r="U47" s="3"/>
      <c r="V47" s="114">
        <v>0</v>
      </c>
      <c r="W47" s="122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1"/>
      <c r="B48" s="121"/>
      <c r="C48" s="104"/>
      <c r="D48" s="106"/>
      <c r="E48" s="106"/>
      <c r="F48" s="106"/>
      <c r="G48" s="106"/>
      <c r="H48" s="106"/>
      <c r="I48" s="113"/>
      <c r="J48" s="106"/>
      <c r="K48" s="106"/>
      <c r="L48" s="106"/>
      <c r="M48" s="106"/>
      <c r="N48" s="106"/>
      <c r="O48" s="113"/>
      <c r="P48" s="113"/>
      <c r="Q48" s="113"/>
      <c r="R48" s="113"/>
      <c r="S48" s="113"/>
      <c r="T48" s="113"/>
      <c r="U48" s="113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1"/>
      <c r="B49" s="121"/>
      <c r="C49" s="124" t="s">
        <v>87</v>
      </c>
      <c r="D49" s="125" t="s">
        <v>88</v>
      </c>
      <c r="E49" s="125" t="s">
        <v>89</v>
      </c>
      <c r="F49" s="125" t="s">
        <v>90</v>
      </c>
      <c r="G49" s="125" t="s">
        <v>91</v>
      </c>
      <c r="H49" s="106"/>
      <c r="I49" s="3"/>
      <c r="J49" s="125" t="s">
        <v>88</v>
      </c>
      <c r="K49" s="125" t="s">
        <v>89</v>
      </c>
      <c r="L49" s="125" t="s">
        <v>90</v>
      </c>
      <c r="M49" s="125" t="s">
        <v>92</v>
      </c>
      <c r="N49" s="3"/>
      <c r="O49" s="3"/>
      <c r="P49" s="125" t="s">
        <v>88</v>
      </c>
      <c r="Q49" s="125" t="s">
        <v>89</v>
      </c>
      <c r="R49" s="125" t="s">
        <v>90</v>
      </c>
      <c r="S49" s="125" t="s">
        <v>102</v>
      </c>
      <c r="T49" s="3"/>
      <c r="U49" s="3"/>
      <c r="V49" s="125" t="s">
        <v>93</v>
      </c>
      <c r="W49" s="125" t="s">
        <v>89</v>
      </c>
      <c r="X49" s="125" t="s">
        <v>90</v>
      </c>
      <c r="Y49" s="125" t="s">
        <v>92</v>
      </c>
      <c r="Z49" s="3"/>
      <c r="AA49" s="3"/>
      <c r="AB49" s="3"/>
      <c r="AC49" s="3"/>
      <c r="AD49" s="3"/>
    </row>
    <row r="50" spans="1:30" x14ac:dyDescent="0.25">
      <c r="A50" s="1"/>
      <c r="B50" s="121"/>
      <c r="C50" s="126" t="s">
        <v>118</v>
      </c>
      <c r="D50" s="130">
        <f>SUM(D51:D54)</f>
        <v>3582130</v>
      </c>
      <c r="E50" s="130">
        <f t="shared" ref="E50:F50" si="22">SUM(E51:E54)</f>
        <v>17696910</v>
      </c>
      <c r="F50" s="130">
        <f t="shared" si="22"/>
        <v>16813904</v>
      </c>
      <c r="G50" s="129">
        <f>D50+E50-F50</f>
        <v>4465136</v>
      </c>
      <c r="H50" s="106"/>
      <c r="I50" s="3"/>
      <c r="J50" s="130">
        <v>4843483.5</v>
      </c>
      <c r="K50" s="130">
        <v>13414250.470799999</v>
      </c>
      <c r="L50" s="130">
        <v>17200000</v>
      </c>
      <c r="M50" s="129">
        <v>1057733.9707999974</v>
      </c>
      <c r="N50" s="3"/>
      <c r="O50" s="3"/>
      <c r="P50" s="130">
        <v>4465638.54</v>
      </c>
      <c r="Q50" s="130">
        <v>7702461.4800000004</v>
      </c>
      <c r="R50" s="130">
        <v>4912438.2699999996</v>
      </c>
      <c r="S50" s="129">
        <v>7255661.75</v>
      </c>
      <c r="T50" s="3"/>
      <c r="U50" s="3"/>
      <c r="V50" s="130">
        <f>SUM(V51:V54)</f>
        <v>1826373.75</v>
      </c>
      <c r="W50" s="130">
        <f t="shared" ref="W50:X50" si="23">SUM(W51:W54)</f>
        <v>16547380.399952998</v>
      </c>
      <c r="X50" s="130">
        <f t="shared" si="23"/>
        <v>9883365.9999999981</v>
      </c>
      <c r="Y50" s="129">
        <f>V50+W50-X50</f>
        <v>8490388.1499530021</v>
      </c>
      <c r="Z50" s="3"/>
      <c r="AA50" s="3"/>
      <c r="AB50" s="3"/>
      <c r="AC50" s="3"/>
      <c r="AD50" s="3"/>
    </row>
    <row r="51" spans="1:30" x14ac:dyDescent="0.25">
      <c r="A51" s="1"/>
      <c r="B51" s="121"/>
      <c r="C51" s="126" t="s">
        <v>94</v>
      </c>
      <c r="D51" s="130">
        <v>0</v>
      </c>
      <c r="E51" s="130">
        <v>0</v>
      </c>
      <c r="F51" s="130">
        <v>0</v>
      </c>
      <c r="G51" s="129">
        <f t="shared" ref="G51:G54" si="24">D51+E51-F51</f>
        <v>0</v>
      </c>
      <c r="H51" s="106"/>
      <c r="I51" s="3"/>
      <c r="J51" s="130">
        <v>0</v>
      </c>
      <c r="K51" s="130">
        <v>0</v>
      </c>
      <c r="L51" s="130">
        <v>0</v>
      </c>
      <c r="M51" s="129">
        <v>0</v>
      </c>
      <c r="N51" s="3"/>
      <c r="O51" s="3"/>
      <c r="P51" s="130">
        <v>0</v>
      </c>
      <c r="Q51" s="130">
        <v>100000</v>
      </c>
      <c r="R51" s="130">
        <v>1063.25</v>
      </c>
      <c r="S51" s="129">
        <v>98936.75</v>
      </c>
      <c r="T51" s="3"/>
      <c r="U51" s="3"/>
      <c r="V51" s="130">
        <f>+S51</f>
        <v>98936.75</v>
      </c>
      <c r="W51" s="130">
        <v>0</v>
      </c>
      <c r="X51" s="130">
        <v>0</v>
      </c>
      <c r="Y51" s="129">
        <v>100000</v>
      </c>
      <c r="Z51" s="3"/>
      <c r="AA51" s="3"/>
      <c r="AB51" s="3"/>
      <c r="AC51" s="3"/>
      <c r="AD51" s="3"/>
    </row>
    <row r="52" spans="1:30" x14ac:dyDescent="0.25">
      <c r="A52" s="1"/>
      <c r="B52" s="121"/>
      <c r="C52" s="126" t="s">
        <v>95</v>
      </c>
      <c r="D52" s="130">
        <f>+[5]List1!$D$47*1000</f>
        <v>3427200</v>
      </c>
      <c r="E52" s="130">
        <f>+([5]List1!$D$49+[5]List1!$D$50)*1000</f>
        <v>16711000</v>
      </c>
      <c r="F52" s="130">
        <f>+[5]List1!$D$57*1000+54</f>
        <v>15830354</v>
      </c>
      <c r="G52" s="129">
        <f t="shared" si="24"/>
        <v>4307846</v>
      </c>
      <c r="H52" s="106"/>
      <c r="I52" s="3"/>
      <c r="J52" s="130">
        <v>4705931.9800000004</v>
      </c>
      <c r="K52" s="130">
        <v>12283500</v>
      </c>
      <c r="L52" s="130">
        <v>16000000</v>
      </c>
      <c r="M52" s="129">
        <v>989431.98000000045</v>
      </c>
      <c r="N52" s="3"/>
      <c r="O52" s="3"/>
      <c r="P52" s="130">
        <v>4307846.01</v>
      </c>
      <c r="Q52" s="130">
        <v>7100578</v>
      </c>
      <c r="R52" s="130">
        <v>4387425.0199999996</v>
      </c>
      <c r="S52" s="129">
        <v>7020998.9900000002</v>
      </c>
      <c r="T52" s="3"/>
      <c r="U52" s="3"/>
      <c r="V52" s="130">
        <v>1571437</v>
      </c>
      <c r="W52" s="130">
        <f>+AA37</f>
        <v>15321365.999999998</v>
      </c>
      <c r="X52" s="130">
        <f>+W52-X44</f>
        <v>8683365.9999999981</v>
      </c>
      <c r="Y52" s="129">
        <f t="shared" ref="Y52:Y54" si="25">V52+W52-X52</f>
        <v>8209437.0000000019</v>
      </c>
      <c r="Z52" s="3"/>
      <c r="AA52" s="3"/>
      <c r="AB52" s="3"/>
      <c r="AC52" s="3"/>
      <c r="AD52" s="3"/>
    </row>
    <row r="53" spans="1:30" x14ac:dyDescent="0.25">
      <c r="A53" s="1"/>
      <c r="B53" s="121"/>
      <c r="C53" s="126" t="s">
        <v>96</v>
      </c>
      <c r="D53" s="130">
        <v>0</v>
      </c>
      <c r="E53" s="130">
        <v>0</v>
      </c>
      <c r="F53" s="130">
        <v>0</v>
      </c>
      <c r="G53" s="129">
        <v>0</v>
      </c>
      <c r="H53" s="106"/>
      <c r="I53" s="3"/>
      <c r="J53" s="130">
        <v>0</v>
      </c>
      <c r="K53" s="130">
        <v>0</v>
      </c>
      <c r="L53" s="130">
        <v>0</v>
      </c>
      <c r="M53" s="129">
        <v>0</v>
      </c>
      <c r="N53" s="3"/>
      <c r="O53" s="3"/>
      <c r="P53" s="130">
        <v>0</v>
      </c>
      <c r="Q53" s="130">
        <v>0</v>
      </c>
      <c r="R53" s="130">
        <v>0</v>
      </c>
      <c r="S53" s="129">
        <v>0</v>
      </c>
      <c r="T53" s="3"/>
      <c r="U53" s="3"/>
      <c r="V53" s="130">
        <v>0</v>
      </c>
      <c r="W53" s="130">
        <v>0</v>
      </c>
      <c r="X53" s="130">
        <v>0</v>
      </c>
      <c r="Y53" s="129">
        <f t="shared" si="25"/>
        <v>0</v>
      </c>
      <c r="Z53" s="3"/>
      <c r="AA53" s="3"/>
      <c r="AB53" s="3"/>
      <c r="AC53" s="3"/>
      <c r="AD53" s="3"/>
    </row>
    <row r="54" spans="1:30" x14ac:dyDescent="0.25">
      <c r="A54" s="1"/>
      <c r="B54" s="121"/>
      <c r="C54" s="131" t="s">
        <v>97</v>
      </c>
      <c r="D54" s="130">
        <f>+'[6]Výroční rozbor'!$Z$40*1000</f>
        <v>154930</v>
      </c>
      <c r="E54" s="130">
        <f>+'[6]Výroční rozbor'!$AI$11*1000</f>
        <v>985910</v>
      </c>
      <c r="F54" s="130">
        <f>+'[6]Výroční rozbor'!$AI$35*1000</f>
        <v>983550</v>
      </c>
      <c r="G54" s="129">
        <f t="shared" si="24"/>
        <v>157290</v>
      </c>
      <c r="H54" s="106"/>
      <c r="I54" s="3"/>
      <c r="J54" s="130">
        <v>137551.52000000002</v>
      </c>
      <c r="K54" s="130">
        <v>1130750.4708</v>
      </c>
      <c r="L54" s="130">
        <v>1200000</v>
      </c>
      <c r="M54" s="129">
        <v>68301.990800000029</v>
      </c>
      <c r="N54" s="3"/>
      <c r="O54" s="3"/>
      <c r="P54" s="130">
        <v>157792.53</v>
      </c>
      <c r="Q54" s="130">
        <v>501883.48</v>
      </c>
      <c r="R54" s="130">
        <v>523950</v>
      </c>
      <c r="S54" s="129">
        <v>135726.01</v>
      </c>
      <c r="T54" s="3"/>
      <c r="U54" s="3"/>
      <c r="V54" s="130">
        <v>156000</v>
      </c>
      <c r="W54" s="130">
        <f>0.02*AA33</f>
        <v>1226014.3999529998</v>
      </c>
      <c r="X54" s="130">
        <v>1200000</v>
      </c>
      <c r="Y54" s="129">
        <f t="shared" si="25"/>
        <v>182014.39995299978</v>
      </c>
      <c r="Z54" s="3"/>
      <c r="AA54" s="3"/>
      <c r="AB54" s="3"/>
      <c r="AC54" s="3"/>
      <c r="AD54" s="3"/>
    </row>
    <row r="55" spans="1:30" ht="10.5" customHeight="1" x14ac:dyDescent="0.25">
      <c r="A55" s="1"/>
      <c r="B55" s="121"/>
      <c r="C55" s="104"/>
      <c r="D55" s="106"/>
      <c r="E55" s="106"/>
      <c r="F55" s="106"/>
      <c r="G55" s="106"/>
      <c r="H55" s="106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1"/>
      <c r="B56" s="121"/>
      <c r="C56" s="124" t="s">
        <v>98</v>
      </c>
      <c r="D56" s="125" t="s">
        <v>99</v>
      </c>
      <c r="E56" s="125" t="s">
        <v>100</v>
      </c>
      <c r="F56" s="106"/>
      <c r="G56" s="106"/>
      <c r="H56" s="106"/>
      <c r="I56" s="113"/>
      <c r="J56" s="125" t="s">
        <v>101</v>
      </c>
      <c r="K56" s="106"/>
      <c r="L56" s="106"/>
      <c r="M56" s="106"/>
      <c r="N56" s="106"/>
      <c r="O56" s="113"/>
      <c r="P56" s="125" t="s">
        <v>102</v>
      </c>
      <c r="Q56" s="113"/>
      <c r="R56" s="113"/>
      <c r="S56" s="113"/>
      <c r="T56" s="113"/>
      <c r="U56" s="113"/>
      <c r="V56" s="125" t="s">
        <v>101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1"/>
      <c r="B57" s="121"/>
      <c r="C57" s="126"/>
      <c r="D57" s="132">
        <v>177</v>
      </c>
      <c r="E57" s="132">
        <v>189</v>
      </c>
      <c r="F57" s="106"/>
      <c r="G57" s="106"/>
      <c r="H57" s="106"/>
      <c r="I57" s="113"/>
      <c r="J57" s="132">
        <v>200</v>
      </c>
      <c r="K57" s="106"/>
      <c r="L57" s="106"/>
      <c r="M57" s="106"/>
      <c r="N57" s="106"/>
      <c r="O57" s="113"/>
      <c r="P57" s="132">
        <v>183</v>
      </c>
      <c r="Q57" s="113"/>
      <c r="R57" s="113"/>
      <c r="S57" s="113"/>
      <c r="T57" s="113"/>
      <c r="U57" s="113"/>
      <c r="V57" s="132">
        <v>200</v>
      </c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1"/>
      <c r="B58" s="121"/>
      <c r="C58" s="104"/>
      <c r="D58" s="106"/>
      <c r="E58" s="106"/>
      <c r="F58" s="106"/>
      <c r="G58" s="106"/>
      <c r="H58" s="106"/>
      <c r="I58" s="113"/>
      <c r="J58" s="106"/>
      <c r="K58" s="106"/>
      <c r="L58" s="106"/>
      <c r="M58" s="106"/>
      <c r="N58" s="106"/>
      <c r="O58" s="113"/>
      <c r="P58" s="113"/>
      <c r="Q58" s="113"/>
      <c r="R58" s="113"/>
      <c r="S58" s="113"/>
      <c r="T58" s="113"/>
      <c r="U58" s="113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1"/>
      <c r="B59" s="133" t="s">
        <v>103</v>
      </c>
      <c r="C59" s="134"/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204"/>
      <c r="P59" s="204"/>
      <c r="Q59" s="204"/>
      <c r="R59" s="204"/>
      <c r="S59" s="204"/>
      <c r="T59" s="204"/>
      <c r="U59" s="204"/>
      <c r="V59" s="135"/>
      <c r="W59" s="135"/>
      <c r="X59" s="135"/>
      <c r="Y59" s="135"/>
      <c r="Z59" s="135"/>
      <c r="AA59" s="135"/>
      <c r="AB59" s="136"/>
      <c r="AC59" s="3"/>
      <c r="AD59" s="3"/>
    </row>
    <row r="60" spans="1:30" x14ac:dyDescent="0.25">
      <c r="A60" s="1"/>
      <c r="B60" s="137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38"/>
      <c r="AC60" s="3"/>
      <c r="AD60" s="3"/>
    </row>
    <row r="61" spans="1:30" x14ac:dyDescent="0.25">
      <c r="A61" s="1"/>
      <c r="B61" s="147"/>
      <c r="C61" s="148"/>
      <c r="D61" s="149"/>
      <c r="E61" s="149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1"/>
      <c r="W61" s="151"/>
      <c r="X61" s="151"/>
      <c r="Y61" s="151"/>
      <c r="Z61" s="151"/>
      <c r="AA61" s="151"/>
      <c r="AB61" s="152"/>
      <c r="AC61" s="3"/>
      <c r="AD61" s="3"/>
    </row>
    <row r="62" spans="1:30" x14ac:dyDescent="0.25">
      <c r="A62" s="102"/>
      <c r="B62" s="153"/>
      <c r="C62" s="154"/>
      <c r="D62" s="153"/>
      <c r="E62" s="153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3"/>
      <c r="W62" s="3"/>
      <c r="X62" s="3"/>
      <c r="Y62" s="3"/>
      <c r="Z62" s="3"/>
      <c r="AA62" s="3"/>
      <c r="AB62" s="3"/>
      <c r="AC62" s="3"/>
      <c r="AD62" s="3"/>
    </row>
    <row r="63" spans="1:30" x14ac:dyDescent="0.25">
      <c r="A63" s="102"/>
      <c r="B63" s="153"/>
      <c r="C63" s="154"/>
      <c r="D63" s="153"/>
      <c r="E63" s="153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3"/>
      <c r="W63" s="3"/>
      <c r="X63" s="3"/>
      <c r="Y63" s="3"/>
      <c r="Z63" s="3"/>
      <c r="AA63" s="3"/>
      <c r="AB63" s="3"/>
      <c r="AC63" s="3"/>
      <c r="AD63" s="3"/>
    </row>
    <row r="64" spans="1:30" x14ac:dyDescent="0.25">
      <c r="A64" s="1"/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3"/>
      <c r="W64" s="3"/>
      <c r="X64" s="3"/>
      <c r="Y64" s="3"/>
      <c r="Z64" s="3"/>
      <c r="AA64" s="3"/>
      <c r="AB64" s="3"/>
      <c r="AC64" s="3"/>
      <c r="AD64" s="3"/>
    </row>
    <row r="65" spans="1:30" x14ac:dyDescent="0.25">
      <c r="A65" s="1"/>
      <c r="B65" s="156" t="s">
        <v>105</v>
      </c>
      <c r="C65" s="157">
        <v>43746</v>
      </c>
      <c r="D65" s="156" t="s">
        <v>106</v>
      </c>
      <c r="E65" s="187" t="s">
        <v>141</v>
      </c>
      <c r="F65" s="187"/>
      <c r="G65" s="187"/>
      <c r="H65" s="156"/>
      <c r="I65" s="156" t="s">
        <v>108</v>
      </c>
      <c r="J65" s="188" t="s">
        <v>142</v>
      </c>
      <c r="K65" s="188"/>
      <c r="L65" s="188"/>
      <c r="M65" s="188"/>
      <c r="N65" s="156"/>
      <c r="O65" s="156"/>
      <c r="P65" s="156"/>
      <c r="Q65" s="156"/>
      <c r="R65" s="156"/>
      <c r="S65" s="156"/>
      <c r="T65" s="156"/>
      <c r="U65" s="156"/>
      <c r="V65" s="3"/>
      <c r="W65" s="3"/>
      <c r="X65" s="3"/>
      <c r="Y65" s="3"/>
      <c r="Z65" s="3"/>
      <c r="AA65" s="3"/>
      <c r="AB65" s="3"/>
      <c r="AC65" s="3"/>
      <c r="AD65" s="3"/>
    </row>
    <row r="66" spans="1:30" ht="7.5" customHeight="1" x14ac:dyDescent="0.25">
      <c r="A66" s="1"/>
      <c r="B66" s="156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156"/>
      <c r="U66" s="156"/>
      <c r="V66" s="3"/>
      <c r="W66" s="3"/>
      <c r="X66" s="3"/>
      <c r="Y66" s="3"/>
      <c r="Z66" s="3"/>
      <c r="AA66" s="3"/>
      <c r="AB66" s="3"/>
      <c r="AC66" s="3"/>
      <c r="AD66" s="3"/>
    </row>
    <row r="67" spans="1:30" x14ac:dyDescent="0.25">
      <c r="A67" s="1"/>
      <c r="B67" s="156"/>
      <c r="C67" s="156"/>
      <c r="D67" s="156" t="s">
        <v>109</v>
      </c>
      <c r="E67" s="158"/>
      <c r="F67" s="158"/>
      <c r="G67" s="158"/>
      <c r="H67" s="156"/>
      <c r="I67" s="156" t="s">
        <v>109</v>
      </c>
      <c r="J67" s="159"/>
      <c r="K67" s="159"/>
      <c r="L67" s="159"/>
      <c r="M67" s="159"/>
      <c r="N67" s="156"/>
      <c r="O67" s="156"/>
      <c r="P67" s="156"/>
      <c r="Q67" s="156"/>
      <c r="R67" s="156"/>
      <c r="S67" s="156"/>
      <c r="T67" s="156"/>
      <c r="U67" s="156"/>
      <c r="V67" s="3"/>
      <c r="W67" s="3"/>
      <c r="X67" s="3"/>
      <c r="Y67" s="3"/>
      <c r="Z67" s="3"/>
      <c r="AA67" s="3"/>
      <c r="AB67" s="3"/>
      <c r="AC67" s="3"/>
      <c r="AD67" s="3"/>
    </row>
    <row r="68" spans="1:30" x14ac:dyDescent="0.25">
      <c r="A68" s="1"/>
      <c r="B68" s="156"/>
      <c r="C68" s="156"/>
      <c r="D68" s="156"/>
      <c r="E68" s="158"/>
      <c r="F68" s="158"/>
      <c r="G68" s="158"/>
      <c r="H68" s="156"/>
      <c r="I68" s="156"/>
      <c r="J68" s="159"/>
      <c r="K68" s="159"/>
      <c r="L68" s="159"/>
      <c r="M68" s="159"/>
      <c r="N68" s="156"/>
      <c r="O68" s="156"/>
      <c r="P68" s="156"/>
      <c r="Q68" s="156"/>
      <c r="R68" s="156"/>
      <c r="S68" s="156"/>
      <c r="T68" s="156"/>
      <c r="U68" s="156"/>
      <c r="V68" s="3"/>
      <c r="W68" s="3"/>
      <c r="X68" s="3"/>
      <c r="Y68" s="3"/>
      <c r="Z68" s="3"/>
      <c r="AA68" s="3"/>
      <c r="AB68" s="3"/>
      <c r="AC68" s="3"/>
      <c r="AD68" s="3"/>
    </row>
    <row r="69" spans="1:30" x14ac:dyDescent="0.25">
      <c r="A69" s="1"/>
      <c r="B69" s="156"/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56"/>
      <c r="T69" s="156"/>
      <c r="U69" s="156"/>
      <c r="V69" s="3"/>
      <c r="W69" s="3"/>
      <c r="X69" s="3"/>
      <c r="Y69" s="3"/>
      <c r="Z69" s="3"/>
      <c r="AA69" s="3"/>
      <c r="AB69" s="3"/>
      <c r="AC69" s="3"/>
      <c r="AD69" s="3"/>
    </row>
    <row r="70" spans="1:30" x14ac:dyDescent="0.25">
      <c r="A70" s="1"/>
      <c r="B70" s="156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3"/>
      <c r="W70" s="3"/>
      <c r="X70" s="3"/>
      <c r="Y70" s="3"/>
      <c r="Z70" s="3"/>
      <c r="AA70" s="3"/>
      <c r="AB70" s="3"/>
      <c r="AC70" s="3"/>
      <c r="AD70" s="3"/>
    </row>
    <row r="71" spans="1:30" hidden="1" x14ac:dyDescent="0.25">
      <c r="AC71" s="4"/>
      <c r="AD71" s="4"/>
    </row>
    <row r="72" spans="1:30" hidden="1" x14ac:dyDescent="0.25"/>
    <row r="73" spans="1:30" hidden="1" x14ac:dyDescent="0.25"/>
    <row r="74" spans="1:30" hidden="1" x14ac:dyDescent="0.25"/>
    <row r="75" spans="1:30" hidden="1" x14ac:dyDescent="0.25"/>
    <row r="76" spans="1:30" hidden="1" x14ac:dyDescent="0.25"/>
    <row r="77" spans="1:30" hidden="1" x14ac:dyDescent="0.25"/>
    <row r="78" spans="1:30" hidden="1" x14ac:dyDescent="0.25"/>
    <row r="79" spans="1:30" hidden="1" x14ac:dyDescent="0.25"/>
    <row r="80" spans="1:3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t="15" hidden="1" customHeight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t="15" hidden="1" customHeight="1" x14ac:dyDescent="0.25"/>
    <row r="102" ht="15" hidden="1" customHeight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</sheetData>
  <mergeCells count="61"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AA13:AA14"/>
    <mergeCell ref="AB25:AB27"/>
    <mergeCell ref="J26:L26"/>
    <mergeCell ref="M26:M27"/>
    <mergeCell ref="N26:N27"/>
    <mergeCell ref="O26:O27"/>
    <mergeCell ref="Z26:Z27"/>
    <mergeCell ref="AA26:AA27"/>
    <mergeCell ref="Y26:Y27"/>
    <mergeCell ref="D25:I25"/>
    <mergeCell ref="J25:O25"/>
    <mergeCell ref="P25:U25"/>
    <mergeCell ref="V25:AA25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B26:B27"/>
    <mergeCell ref="C26:C27"/>
    <mergeCell ref="D26:F26"/>
    <mergeCell ref="G26:G27"/>
    <mergeCell ref="H26:H27"/>
    <mergeCell ref="E65:G65"/>
    <mergeCell ref="J65:M65"/>
    <mergeCell ref="P26:R26"/>
    <mergeCell ref="S26:S27"/>
    <mergeCell ref="T26:T27"/>
    <mergeCell ref="I26:I27"/>
    <mergeCell ref="C43:C44"/>
    <mergeCell ref="C46:C47"/>
    <mergeCell ref="D59:U59"/>
    <mergeCell ref="U26:U27"/>
    <mergeCell ref="V26:X26"/>
  </mergeCells>
  <conditionalFormatting sqref="AB15:AB25">
    <cfRule type="cellIs" dxfId="3" priority="3" operator="equal">
      <formula>0</formula>
    </cfRule>
    <cfRule type="containsErrors" dxfId="2" priority="4">
      <formula>ISERROR(AB15)</formula>
    </cfRule>
  </conditionalFormatting>
  <conditionalFormatting sqref="AB28:AB41">
    <cfRule type="cellIs" dxfId="1" priority="1" operator="equal">
      <formula>0</formula>
    </cfRule>
    <cfRule type="containsErrors" dxfId="0" priority="2">
      <formula>ISERROR(AB28)</formula>
    </cfRule>
  </conditionalFormatting>
  <pageMargins left="0.25" right="0.25" top="0.75" bottom="0.75" header="0.3" footer="0.3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CHK</vt:lpstr>
      <vt:lpstr>MěLe</vt:lpstr>
      <vt:lpstr>SOS</vt:lpstr>
      <vt:lpstr>ZOO</vt:lpstr>
      <vt:lpstr>TSmCh</vt:lpstr>
      <vt:lpstr>CHK!Oblast_tisku</vt:lpstr>
      <vt:lpstr>MěLe!Oblast_tisku</vt:lpstr>
      <vt:lpstr>SOS!Oblast_tisku</vt:lpstr>
      <vt:lpstr>TSmCh!Oblast_tisku</vt:lpstr>
      <vt:lpstr>ZOO!Oblast_tisku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Mareš Jan (Ekonom)</cp:lastModifiedBy>
  <dcterms:created xsi:type="dcterms:W3CDTF">2019-10-11T10:28:12Z</dcterms:created>
  <dcterms:modified xsi:type="dcterms:W3CDTF">2019-11-13T13:29:12Z</dcterms:modified>
</cp:coreProperties>
</file>