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ŠKOLY\"/>
    </mc:Choice>
  </mc:AlternateContent>
  <bookViews>
    <workbookView xWindow="0" yWindow="0" windowWidth="28800" windowHeight="12135" tabRatio="885" activeTab="4"/>
  </bookViews>
  <sheets>
    <sheet name="ZŠ Zahradní" sheetId="1" r:id="rId1"/>
    <sheet name="ZŠ Na Příkopech" sheetId="2" r:id="rId2"/>
    <sheet name="ZŠ Kadaňská" sheetId="3" r:id="rId3"/>
    <sheet name="ZŠ Písečná" sheetId="4" r:id="rId4"/>
    <sheet name="ZŠ Hornická" sheetId="14" r:id="rId5"/>
    <sheet name="ZŠ Školní" sheetId="6" r:id="rId6"/>
    <sheet name="ZŠ AK. Heyrovsk." sheetId="7" r:id="rId7"/>
    <sheet name="ZŠ Březenecká" sheetId="8" r:id="rId8"/>
    <sheet name="ZŠaMŠ 17. list." sheetId="9" r:id="rId9"/>
    <sheet name="ZUŠ TGM" sheetId="10" r:id="rId10"/>
    <sheet name="ZŠSaMŠ Palachova" sheetId="11" r:id="rId11"/>
    <sheet name="MŠ CV" sheetId="12" r:id="rId12"/>
    <sheet name="SVČ Domeček" sheetId="13" r:id="rId13"/>
  </sheets>
  <definedNames>
    <definedName name="_xlnm.Print_Area" localSheetId="11">'MŠ CV'!$A$1:$AC$96</definedName>
    <definedName name="_xlnm.Print_Area" localSheetId="12">'SVČ Domeček'!$A$1:$AC$96</definedName>
    <definedName name="_xlnm.Print_Area" localSheetId="6">'ZŠ AK. Heyrovsk.'!$A$1:$AC$96</definedName>
    <definedName name="_xlnm.Print_Area" localSheetId="7">'ZŠ Březenecká'!$A$1:$AC$96</definedName>
    <definedName name="_xlnm.Print_Area" localSheetId="4">'ZŠ Hornická'!$A$1:$AC$96</definedName>
    <definedName name="_xlnm.Print_Area" localSheetId="2">'ZŠ Kadaňská'!$A$1:$AC$96</definedName>
    <definedName name="_xlnm.Print_Area" localSheetId="1">'ZŠ Na Příkopech'!$A$1:$AC$96</definedName>
    <definedName name="_xlnm.Print_Area" localSheetId="3">'ZŠ Písečná'!$A$1:$AC$96</definedName>
    <definedName name="_xlnm.Print_Area" localSheetId="5">'ZŠ Školní'!$A$1:$AC$97</definedName>
    <definedName name="_xlnm.Print_Area" localSheetId="0">'ZŠ Zahradní'!$A$1:$AC$96</definedName>
    <definedName name="_xlnm.Print_Area" localSheetId="8">'ZŠaMŠ 17. list.'!$A$1:$AC$96</definedName>
    <definedName name="_xlnm.Print_Area" localSheetId="10">'ZŠSaMŠ Palachova'!$A$1:$AC$96</definedName>
    <definedName name="_xlnm.Print_Area" localSheetId="9">'ZUŠ TGM'!$A$1:$AC$96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4" l="1"/>
  <c r="S54" i="14"/>
  <c r="M54" i="14"/>
  <c r="G54" i="14"/>
  <c r="Y53" i="14"/>
  <c r="S53" i="14"/>
  <c r="M53" i="14"/>
  <c r="G53" i="14"/>
  <c r="Y52" i="14"/>
  <c r="S52" i="14"/>
  <c r="M52" i="14"/>
  <c r="G52" i="14"/>
  <c r="Y51" i="14"/>
  <c r="S51" i="14"/>
  <c r="M51" i="14"/>
  <c r="G51" i="14"/>
  <c r="Y50" i="14"/>
  <c r="S50" i="14"/>
  <c r="M50" i="14"/>
  <c r="G50" i="14"/>
  <c r="X40" i="14"/>
  <c r="T40" i="14"/>
  <c r="Q40" i="14"/>
  <c r="P40" i="14"/>
  <c r="L40" i="14"/>
  <c r="H40" i="14"/>
  <c r="E40" i="14"/>
  <c r="D40" i="14"/>
  <c r="Z39" i="14"/>
  <c r="X39" i="14"/>
  <c r="V39" i="14"/>
  <c r="T39" i="14"/>
  <c r="R39" i="14"/>
  <c r="Q39" i="14"/>
  <c r="P39" i="14"/>
  <c r="S39" i="14" s="1"/>
  <c r="N39" i="14"/>
  <c r="L39" i="14"/>
  <c r="K39" i="14"/>
  <c r="J39" i="14"/>
  <c r="M39" i="14" s="1"/>
  <c r="H39" i="14"/>
  <c r="F39" i="14"/>
  <c r="E39" i="14"/>
  <c r="D39" i="14"/>
  <c r="G39" i="14" s="1"/>
  <c r="AA38" i="14"/>
  <c r="AB38" i="14" s="1"/>
  <c r="Y38" i="14"/>
  <c r="S38" i="14"/>
  <c r="U38" i="14" s="1"/>
  <c r="O38" i="14"/>
  <c r="M38" i="14"/>
  <c r="G38" i="14"/>
  <c r="I38" i="14" s="1"/>
  <c r="AB37" i="14"/>
  <c r="AA37" i="14"/>
  <c r="Y37" i="14"/>
  <c r="S37" i="14"/>
  <c r="U37" i="14" s="1"/>
  <c r="O37" i="14"/>
  <c r="M37" i="14"/>
  <c r="G37" i="14"/>
  <c r="I37" i="14" s="1"/>
  <c r="AB36" i="14"/>
  <c r="AA36" i="14"/>
  <c r="Y36" i="14"/>
  <c r="U36" i="14"/>
  <c r="S36" i="14"/>
  <c r="O36" i="14"/>
  <c r="M36" i="14"/>
  <c r="G36" i="14"/>
  <c r="I36" i="14" s="1"/>
  <c r="Y35" i="14"/>
  <c r="AA35" i="14" s="1"/>
  <c r="U35" i="14"/>
  <c r="S35" i="14"/>
  <c r="M35" i="14"/>
  <c r="O35" i="14" s="1"/>
  <c r="O39" i="14" s="1"/>
  <c r="I35" i="14"/>
  <c r="G35" i="14"/>
  <c r="Y34" i="14"/>
  <c r="AA34" i="14" s="1"/>
  <c r="AB34" i="14" s="1"/>
  <c r="U34" i="14"/>
  <c r="S34" i="14"/>
  <c r="M34" i="14"/>
  <c r="O34" i="14" s="1"/>
  <c r="I34" i="14"/>
  <c r="G34" i="14"/>
  <c r="AA33" i="14"/>
  <c r="AB33" i="14" s="1"/>
  <c r="Y33" i="14"/>
  <c r="S33" i="14"/>
  <c r="U33" i="14" s="1"/>
  <c r="O33" i="14"/>
  <c r="M33" i="14"/>
  <c r="G33" i="14"/>
  <c r="I33" i="14" s="1"/>
  <c r="W32" i="14"/>
  <c r="W39" i="14" s="1"/>
  <c r="U32" i="14"/>
  <c r="S32" i="14"/>
  <c r="M32" i="14"/>
  <c r="O32" i="14" s="1"/>
  <c r="I32" i="14"/>
  <c r="G32" i="14"/>
  <c r="Y31" i="14"/>
  <c r="AA31" i="14" s="1"/>
  <c r="U31" i="14"/>
  <c r="S31" i="14"/>
  <c r="M31" i="14"/>
  <c r="O31" i="14" s="1"/>
  <c r="I31" i="14"/>
  <c r="G31" i="14"/>
  <c r="AA30" i="14"/>
  <c r="AB30" i="14" s="1"/>
  <c r="Y30" i="14"/>
  <c r="S30" i="14"/>
  <c r="U30" i="14" s="1"/>
  <c r="O30" i="14"/>
  <c r="M30" i="14"/>
  <c r="G30" i="14"/>
  <c r="I30" i="14" s="1"/>
  <c r="AB29" i="14"/>
  <c r="AA29" i="14"/>
  <c r="Y29" i="14"/>
  <c r="S29" i="14"/>
  <c r="U29" i="14" s="1"/>
  <c r="O29" i="14"/>
  <c r="M29" i="14"/>
  <c r="G29" i="14"/>
  <c r="I29" i="14" s="1"/>
  <c r="Y28" i="14"/>
  <c r="AA28" i="14" s="1"/>
  <c r="AB28" i="14" s="1"/>
  <c r="U28" i="14"/>
  <c r="S28" i="14"/>
  <c r="M28" i="14"/>
  <c r="O28" i="14" s="1"/>
  <c r="I28" i="14"/>
  <c r="G28" i="14"/>
  <c r="Z24" i="14"/>
  <c r="Z40" i="14" s="1"/>
  <c r="X24" i="14"/>
  <c r="W24" i="14"/>
  <c r="W40" i="14" s="1"/>
  <c r="V24" i="14"/>
  <c r="Y24" i="14" s="1"/>
  <c r="T24" i="14"/>
  <c r="R24" i="14"/>
  <c r="R40" i="14" s="1"/>
  <c r="Q24" i="14"/>
  <c r="P24" i="14"/>
  <c r="N24" i="14"/>
  <c r="N40" i="14" s="1"/>
  <c r="L24" i="14"/>
  <c r="K24" i="14"/>
  <c r="K40" i="14" s="1"/>
  <c r="J24" i="14"/>
  <c r="M24" i="14" s="1"/>
  <c r="M40" i="14" s="1"/>
  <c r="H24" i="14"/>
  <c r="F24" i="14"/>
  <c r="G24" i="14" s="1"/>
  <c r="G40" i="14" s="1"/>
  <c r="E24" i="14"/>
  <c r="D24" i="14"/>
  <c r="AA23" i="14"/>
  <c r="AB23" i="14" s="1"/>
  <c r="Y23" i="14"/>
  <c r="S23" i="14"/>
  <c r="U23" i="14" s="1"/>
  <c r="O23" i="14"/>
  <c r="M23" i="14"/>
  <c r="G23" i="14"/>
  <c r="I23" i="14" s="1"/>
  <c r="AB22" i="14"/>
  <c r="AA22" i="14"/>
  <c r="Y22" i="14"/>
  <c r="S22" i="14"/>
  <c r="U22" i="14" s="1"/>
  <c r="O22" i="14"/>
  <c r="M22" i="14"/>
  <c r="G22" i="14"/>
  <c r="I22" i="14" s="1"/>
  <c r="Y21" i="14"/>
  <c r="AA21" i="14" s="1"/>
  <c r="AB21" i="14" s="1"/>
  <c r="U21" i="14"/>
  <c r="S21" i="14"/>
  <c r="M21" i="14"/>
  <c r="O21" i="14" s="1"/>
  <c r="I21" i="14"/>
  <c r="G21" i="14"/>
  <c r="Y20" i="14"/>
  <c r="AA20" i="14" s="1"/>
  <c r="U20" i="14"/>
  <c r="S20" i="14"/>
  <c r="M20" i="14"/>
  <c r="O20" i="14" s="1"/>
  <c r="I20" i="14"/>
  <c r="G20" i="14"/>
  <c r="AA19" i="14"/>
  <c r="AB19" i="14" s="1"/>
  <c r="Y19" i="14"/>
  <c r="S19" i="14"/>
  <c r="U19" i="14" s="1"/>
  <c r="O19" i="14"/>
  <c r="M19" i="14"/>
  <c r="G19" i="14"/>
  <c r="I19" i="14" s="1"/>
  <c r="AB18" i="14"/>
  <c r="AA18" i="14"/>
  <c r="Y18" i="14"/>
  <c r="S18" i="14"/>
  <c r="U18" i="14" s="1"/>
  <c r="O18" i="14"/>
  <c r="M18" i="14"/>
  <c r="G18" i="14"/>
  <c r="I18" i="14" s="1"/>
  <c r="Y17" i="14"/>
  <c r="AA17" i="14" s="1"/>
  <c r="AB17" i="14" s="1"/>
  <c r="U17" i="14"/>
  <c r="S17" i="14"/>
  <c r="M17" i="14"/>
  <c r="O17" i="14" s="1"/>
  <c r="I17" i="14"/>
  <c r="G17" i="14"/>
  <c r="Y16" i="14"/>
  <c r="AA16" i="14" s="1"/>
  <c r="AB16" i="14" s="1"/>
  <c r="U16" i="14"/>
  <c r="S16" i="14"/>
  <c r="M16" i="14"/>
  <c r="O16" i="14" s="1"/>
  <c r="I16" i="14"/>
  <c r="G16" i="14"/>
  <c r="AA15" i="14"/>
  <c r="AA24" i="14" s="1"/>
  <c r="Y15" i="14"/>
  <c r="S15" i="14"/>
  <c r="U15" i="14" s="1"/>
  <c r="O15" i="14"/>
  <c r="M15" i="14"/>
  <c r="G15" i="14"/>
  <c r="I15" i="14" s="1"/>
  <c r="Y39" i="14" l="1"/>
  <c r="O24" i="14"/>
  <c r="O40" i="14" s="1"/>
  <c r="O41" i="14" s="1"/>
  <c r="U24" i="14"/>
  <c r="U39" i="14"/>
  <c r="I24" i="14"/>
  <c r="AB20" i="14"/>
  <c r="Y40" i="14"/>
  <c r="AB31" i="14"/>
  <c r="I39" i="14"/>
  <c r="AB35" i="14"/>
  <c r="AB15" i="14"/>
  <c r="S24" i="14"/>
  <c r="S40" i="14" s="1"/>
  <c r="Y32" i="14"/>
  <c r="AA32" i="14" s="1"/>
  <c r="AB32" i="14" s="1"/>
  <c r="F40" i="14"/>
  <c r="J40" i="14"/>
  <c r="V40" i="14"/>
  <c r="I40" i="14" l="1"/>
  <c r="I41" i="14" s="1"/>
  <c r="AB24" i="14"/>
  <c r="AA39" i="14"/>
  <c r="U40" i="14"/>
  <c r="U41" i="14" s="1"/>
  <c r="AB39" i="14" l="1"/>
  <c r="AA40" i="14"/>
  <c r="AA41" i="14" l="1"/>
  <c r="AB41" i="14" s="1"/>
  <c r="AB40" i="14"/>
  <c r="Y54" i="13" l="1"/>
  <c r="S54" i="13"/>
  <c r="M54" i="13"/>
  <c r="G54" i="13"/>
  <c r="F54" i="13"/>
  <c r="Y53" i="13"/>
  <c r="S53" i="13"/>
  <c r="M53" i="13"/>
  <c r="G53" i="13"/>
  <c r="Y52" i="13"/>
  <c r="S52" i="13"/>
  <c r="M52" i="13"/>
  <c r="G52" i="13"/>
  <c r="Y51" i="13"/>
  <c r="S51" i="13"/>
  <c r="M51" i="13"/>
  <c r="M50" i="13" s="1"/>
  <c r="K51" i="13"/>
  <c r="E51" i="13"/>
  <c r="D51" i="13"/>
  <c r="G51" i="13" s="1"/>
  <c r="G50" i="13" s="1"/>
  <c r="Y50" i="13"/>
  <c r="X50" i="13"/>
  <c r="W50" i="13"/>
  <c r="V50" i="13"/>
  <c r="R50" i="13"/>
  <c r="Q50" i="13"/>
  <c r="P50" i="13"/>
  <c r="S50" i="13" s="1"/>
  <c r="L50" i="13"/>
  <c r="K50" i="13"/>
  <c r="J50" i="13"/>
  <c r="F50" i="13"/>
  <c r="E50" i="13"/>
  <c r="D50" i="13"/>
  <c r="Z40" i="13"/>
  <c r="V40" i="13"/>
  <c r="R40" i="13"/>
  <c r="N40" i="13"/>
  <c r="J40" i="13"/>
  <c r="Z39" i="13"/>
  <c r="X39" i="13"/>
  <c r="W39" i="13"/>
  <c r="W40" i="13" s="1"/>
  <c r="V39" i="13"/>
  <c r="Y39" i="13" s="1"/>
  <c r="T39" i="13"/>
  <c r="S39" i="13"/>
  <c r="R39" i="13"/>
  <c r="Q39" i="13"/>
  <c r="P39" i="13"/>
  <c r="N39" i="13"/>
  <c r="L39" i="13"/>
  <c r="K39" i="13"/>
  <c r="K40" i="13" s="1"/>
  <c r="J39" i="13"/>
  <c r="M39" i="13" s="1"/>
  <c r="H39" i="13"/>
  <c r="D39" i="13"/>
  <c r="Y38" i="13"/>
  <c r="AA38" i="13" s="1"/>
  <c r="AB38" i="13" s="1"/>
  <c r="S38" i="13"/>
  <c r="U38" i="13" s="1"/>
  <c r="M38" i="13"/>
  <c r="O38" i="13" s="1"/>
  <c r="G38" i="13"/>
  <c r="I38" i="13" s="1"/>
  <c r="F38" i="13"/>
  <c r="F39" i="13" s="1"/>
  <c r="E38" i="13"/>
  <c r="E39" i="13" s="1"/>
  <c r="AA37" i="13"/>
  <c r="AB37" i="13" s="1"/>
  <c r="Y37" i="13"/>
  <c r="S37" i="13"/>
  <c r="U37" i="13" s="1"/>
  <c r="O37" i="13"/>
  <c r="M37" i="13"/>
  <c r="G37" i="13"/>
  <c r="I37" i="13" s="1"/>
  <c r="Y36" i="13"/>
  <c r="AA36" i="13" s="1"/>
  <c r="AB36" i="13" s="1"/>
  <c r="S36" i="13"/>
  <c r="U36" i="13" s="1"/>
  <c r="M36" i="13"/>
  <c r="O36" i="13" s="1"/>
  <c r="G36" i="13"/>
  <c r="I36" i="13" s="1"/>
  <c r="Y35" i="13"/>
  <c r="AA35" i="13" s="1"/>
  <c r="AB35" i="13" s="1"/>
  <c r="U35" i="13"/>
  <c r="S35" i="13"/>
  <c r="M35" i="13"/>
  <c r="O35" i="13" s="1"/>
  <c r="I35" i="13"/>
  <c r="I39" i="13" s="1"/>
  <c r="G35" i="13"/>
  <c r="Y34" i="13"/>
  <c r="AA34" i="13" s="1"/>
  <c r="U34" i="13"/>
  <c r="S34" i="13"/>
  <c r="M34" i="13"/>
  <c r="O34" i="13" s="1"/>
  <c r="E34" i="13"/>
  <c r="G34" i="13" s="1"/>
  <c r="I34" i="13" s="1"/>
  <c r="AB33" i="13"/>
  <c r="AA33" i="13"/>
  <c r="Y33" i="13"/>
  <c r="S33" i="13"/>
  <c r="U33" i="13" s="1"/>
  <c r="O33" i="13"/>
  <c r="M33" i="13"/>
  <c r="G33" i="13"/>
  <c r="I33" i="13" s="1"/>
  <c r="E33" i="13"/>
  <c r="Y32" i="13"/>
  <c r="AA32" i="13" s="1"/>
  <c r="AB32" i="13" s="1"/>
  <c r="X32" i="13"/>
  <c r="W32" i="13"/>
  <c r="S32" i="13"/>
  <c r="U32" i="13" s="1"/>
  <c r="O32" i="13"/>
  <c r="M32" i="13"/>
  <c r="G32" i="13"/>
  <c r="I32" i="13" s="1"/>
  <c r="Y31" i="13"/>
  <c r="AA31" i="13" s="1"/>
  <c r="U31" i="13"/>
  <c r="S31" i="13"/>
  <c r="M31" i="13"/>
  <c r="O31" i="13" s="1"/>
  <c r="F31" i="13"/>
  <c r="E31" i="13"/>
  <c r="G31" i="13" s="1"/>
  <c r="I31" i="13" s="1"/>
  <c r="Y30" i="13"/>
  <c r="AA30" i="13" s="1"/>
  <c r="AB30" i="13" s="1"/>
  <c r="S30" i="13"/>
  <c r="U30" i="13" s="1"/>
  <c r="M30" i="13"/>
  <c r="O30" i="13" s="1"/>
  <c r="G30" i="13"/>
  <c r="I30" i="13" s="1"/>
  <c r="Y29" i="13"/>
  <c r="AA29" i="13" s="1"/>
  <c r="AB29" i="13" s="1"/>
  <c r="U29" i="13"/>
  <c r="S29" i="13"/>
  <c r="M29" i="13"/>
  <c r="O29" i="13" s="1"/>
  <c r="F29" i="13"/>
  <c r="E29" i="13"/>
  <c r="G29" i="13" s="1"/>
  <c r="I29" i="13" s="1"/>
  <c r="Y28" i="13"/>
  <c r="AA28" i="13" s="1"/>
  <c r="S28" i="13"/>
  <c r="U28" i="13" s="1"/>
  <c r="M28" i="13"/>
  <c r="O28" i="13" s="1"/>
  <c r="G28" i="13"/>
  <c r="I28" i="13" s="1"/>
  <c r="Z24" i="13"/>
  <c r="Y24" i="13"/>
  <c r="Y40" i="13" s="1"/>
  <c r="X24" i="13"/>
  <c r="X40" i="13" s="1"/>
  <c r="W24" i="13"/>
  <c r="V24" i="13"/>
  <c r="T24" i="13"/>
  <c r="T40" i="13" s="1"/>
  <c r="R24" i="13"/>
  <c r="Q24" i="13"/>
  <c r="Q40" i="13" s="1"/>
  <c r="P24" i="13"/>
  <c r="P40" i="13" s="1"/>
  <c r="N24" i="13"/>
  <c r="M24" i="13"/>
  <c r="M40" i="13" s="1"/>
  <c r="L24" i="13"/>
  <c r="L40" i="13" s="1"/>
  <c r="K24" i="13"/>
  <c r="J24" i="13"/>
  <c r="H24" i="13"/>
  <c r="H40" i="13" s="1"/>
  <c r="D24" i="13"/>
  <c r="D40" i="13" s="1"/>
  <c r="Y23" i="13"/>
  <c r="AA23" i="13" s="1"/>
  <c r="U23" i="13"/>
  <c r="S23" i="13"/>
  <c r="M23" i="13"/>
  <c r="O23" i="13" s="1"/>
  <c r="I23" i="13"/>
  <c r="G23" i="13"/>
  <c r="AA22" i="13"/>
  <c r="AB22" i="13" s="1"/>
  <c r="Y22" i="13"/>
  <c r="S22" i="13"/>
  <c r="U22" i="13" s="1"/>
  <c r="O22" i="13"/>
  <c r="M22" i="13"/>
  <c r="G22" i="13"/>
  <c r="I22" i="13" s="1"/>
  <c r="AB21" i="13"/>
  <c r="AA21" i="13"/>
  <c r="Y21" i="13"/>
  <c r="S21" i="13"/>
  <c r="U21" i="13" s="1"/>
  <c r="M21" i="13"/>
  <c r="F21" i="13"/>
  <c r="F24" i="13" s="1"/>
  <c r="Y20" i="13"/>
  <c r="AA20" i="13" s="1"/>
  <c r="AB20" i="13" s="1"/>
  <c r="U20" i="13"/>
  <c r="S20" i="13"/>
  <c r="M20" i="13"/>
  <c r="O20" i="13" s="1"/>
  <c r="I20" i="13"/>
  <c r="G20" i="13"/>
  <c r="Y19" i="13"/>
  <c r="AA19" i="13" s="1"/>
  <c r="S19" i="13"/>
  <c r="U19" i="13" s="1"/>
  <c r="M19" i="13"/>
  <c r="O19" i="13" s="1"/>
  <c r="G19" i="13"/>
  <c r="I19" i="13" s="1"/>
  <c r="AA18" i="13"/>
  <c r="AB18" i="13" s="1"/>
  <c r="Y18" i="13"/>
  <c r="S18" i="13"/>
  <c r="U18" i="13" s="1"/>
  <c r="O18" i="13"/>
  <c r="M18" i="13"/>
  <c r="E18" i="13"/>
  <c r="G18" i="13" s="1"/>
  <c r="I18" i="13" s="1"/>
  <c r="Y17" i="13"/>
  <c r="AA17" i="13" s="1"/>
  <c r="AB17" i="13" s="1"/>
  <c r="U17" i="13"/>
  <c r="S17" i="13"/>
  <c r="M17" i="13"/>
  <c r="O17" i="13" s="1"/>
  <c r="I17" i="13"/>
  <c r="G17" i="13"/>
  <c r="Y16" i="13"/>
  <c r="AA16" i="13" s="1"/>
  <c r="S16" i="13"/>
  <c r="U16" i="13" s="1"/>
  <c r="M16" i="13"/>
  <c r="O16" i="13" s="1"/>
  <c r="G16" i="13"/>
  <c r="I16" i="13" s="1"/>
  <c r="AA15" i="13"/>
  <c r="Y15" i="13"/>
  <c r="S15" i="13"/>
  <c r="U15" i="13" s="1"/>
  <c r="U24" i="13" s="1"/>
  <c r="O15" i="13"/>
  <c r="M15" i="13"/>
  <c r="G15" i="13"/>
  <c r="I15" i="13" s="1"/>
  <c r="AA24" i="13" l="1"/>
  <c r="AB16" i="13"/>
  <c r="AB19" i="13"/>
  <c r="AB23" i="13"/>
  <c r="AB28" i="13"/>
  <c r="AB31" i="13"/>
  <c r="AA39" i="13"/>
  <c r="AB34" i="13"/>
  <c r="F40" i="13"/>
  <c r="O39" i="13"/>
  <c r="O24" i="13"/>
  <c r="U39" i="13"/>
  <c r="U40" i="13" s="1"/>
  <c r="U41" i="13" s="1"/>
  <c r="G39" i="13"/>
  <c r="E24" i="13"/>
  <c r="E40" i="13" s="1"/>
  <c r="AB15" i="13"/>
  <c r="G21" i="13"/>
  <c r="I21" i="13" s="1"/>
  <c r="I24" i="13" s="1"/>
  <c r="I40" i="13" s="1"/>
  <c r="I41" i="13" s="1"/>
  <c r="S24" i="13"/>
  <c r="S40" i="13" s="1"/>
  <c r="G24" i="13" l="1"/>
  <c r="G40" i="13" s="1"/>
  <c r="AB39" i="13"/>
  <c r="AB24" i="13"/>
  <c r="AA40" i="13"/>
  <c r="O40" i="13"/>
  <c r="O41" i="13" s="1"/>
  <c r="AA41" i="13" l="1"/>
  <c r="AB41" i="13" s="1"/>
  <c r="AB40" i="13"/>
  <c r="Y54" i="12" l="1"/>
  <c r="S54" i="12"/>
  <c r="M54" i="12"/>
  <c r="G54" i="12"/>
  <c r="Y53" i="12"/>
  <c r="Y50" i="12" s="1"/>
  <c r="M53" i="12"/>
  <c r="G53" i="12"/>
  <c r="Y52" i="12"/>
  <c r="S52" i="12"/>
  <c r="M52" i="12"/>
  <c r="G52" i="12"/>
  <c r="Y51" i="12"/>
  <c r="S51" i="12"/>
  <c r="S50" i="12" s="1"/>
  <c r="M51" i="12"/>
  <c r="G51" i="12"/>
  <c r="X50" i="12"/>
  <c r="W50" i="12"/>
  <c r="M50" i="12"/>
  <c r="G50" i="12"/>
  <c r="F50" i="12"/>
  <c r="E50" i="12"/>
  <c r="D50" i="12"/>
  <c r="V44" i="12"/>
  <c r="P44" i="12"/>
  <c r="J44" i="12"/>
  <c r="D44" i="12"/>
  <c r="Q40" i="12"/>
  <c r="E40" i="12"/>
  <c r="Z39" i="12"/>
  <c r="Z40" i="12" s="1"/>
  <c r="X39" i="12"/>
  <c r="V39" i="12"/>
  <c r="Y39" i="12" s="1"/>
  <c r="T39" i="12"/>
  <c r="R39" i="12"/>
  <c r="R40" i="12" s="1"/>
  <c r="Q39" i="12"/>
  <c r="P39" i="12"/>
  <c r="N39" i="12"/>
  <c r="N40" i="12" s="1"/>
  <c r="L39" i="12"/>
  <c r="K39" i="12"/>
  <c r="J39" i="12"/>
  <c r="M39" i="12" s="1"/>
  <c r="H39" i="12"/>
  <c r="F39" i="12"/>
  <c r="F40" i="12" s="1"/>
  <c r="E39" i="12"/>
  <c r="D39" i="12"/>
  <c r="AA38" i="12"/>
  <c r="AB38" i="12" s="1"/>
  <c r="Y38" i="12"/>
  <c r="S38" i="12"/>
  <c r="U38" i="12" s="1"/>
  <c r="O38" i="12"/>
  <c r="M38" i="12"/>
  <c r="G38" i="12"/>
  <c r="I38" i="12" s="1"/>
  <c r="Y37" i="12"/>
  <c r="AA37" i="12" s="1"/>
  <c r="S37" i="12"/>
  <c r="U37" i="12" s="1"/>
  <c r="M37" i="12"/>
  <c r="O37" i="12" s="1"/>
  <c r="G37" i="12"/>
  <c r="I37" i="12" s="1"/>
  <c r="Y36" i="12"/>
  <c r="AA36" i="12" s="1"/>
  <c r="AB36" i="12" s="1"/>
  <c r="U36" i="12"/>
  <c r="S36" i="12"/>
  <c r="M36" i="12"/>
  <c r="O36" i="12" s="1"/>
  <c r="I36" i="12"/>
  <c r="G36" i="12"/>
  <c r="Y35" i="12"/>
  <c r="AA35" i="12" s="1"/>
  <c r="S35" i="12"/>
  <c r="U35" i="12" s="1"/>
  <c r="M35" i="12"/>
  <c r="O35" i="12" s="1"/>
  <c r="G35" i="12"/>
  <c r="I35" i="12" s="1"/>
  <c r="AA34" i="12"/>
  <c r="AB34" i="12" s="1"/>
  <c r="Y34" i="12"/>
  <c r="S34" i="12"/>
  <c r="U34" i="12" s="1"/>
  <c r="O34" i="12"/>
  <c r="M34" i="12"/>
  <c r="G34" i="12"/>
  <c r="I34" i="12" s="1"/>
  <c r="Y33" i="12"/>
  <c r="AA33" i="12" s="1"/>
  <c r="S33" i="12"/>
  <c r="U33" i="12" s="1"/>
  <c r="M33" i="12"/>
  <c r="O33" i="12" s="1"/>
  <c r="G33" i="12"/>
  <c r="I33" i="12" s="1"/>
  <c r="W32" i="12"/>
  <c r="W39" i="12" s="1"/>
  <c r="S32" i="12"/>
  <c r="U32" i="12" s="1"/>
  <c r="M32" i="12"/>
  <c r="O32" i="12" s="1"/>
  <c r="G32" i="12"/>
  <c r="I32" i="12" s="1"/>
  <c r="AA31" i="12"/>
  <c r="AB31" i="12" s="1"/>
  <c r="Y31" i="12"/>
  <c r="S31" i="12"/>
  <c r="U31" i="12" s="1"/>
  <c r="O31" i="12"/>
  <c r="M31" i="12"/>
  <c r="G31" i="12"/>
  <c r="I31" i="12" s="1"/>
  <c r="Y30" i="12"/>
  <c r="AA30" i="12" s="1"/>
  <c r="AB30" i="12" s="1"/>
  <c r="S30" i="12"/>
  <c r="U30" i="12" s="1"/>
  <c r="M30" i="12"/>
  <c r="O30" i="12" s="1"/>
  <c r="G30" i="12"/>
  <c r="I30" i="12" s="1"/>
  <c r="Y29" i="12"/>
  <c r="AA29" i="12" s="1"/>
  <c r="U29" i="12"/>
  <c r="S29" i="12"/>
  <c r="M29" i="12"/>
  <c r="O29" i="12" s="1"/>
  <c r="I29" i="12"/>
  <c r="G29" i="12"/>
  <c r="Y28" i="12"/>
  <c r="AA28" i="12" s="1"/>
  <c r="S28" i="12"/>
  <c r="U28" i="12" s="1"/>
  <c r="M28" i="12"/>
  <c r="O28" i="12" s="1"/>
  <c r="G28" i="12"/>
  <c r="I28" i="12" s="1"/>
  <c r="Z24" i="12"/>
  <c r="X24" i="12"/>
  <c r="X40" i="12" s="1"/>
  <c r="W24" i="12"/>
  <c r="Y24" i="12" s="1"/>
  <c r="V24" i="12"/>
  <c r="T24" i="12"/>
  <c r="T40" i="12" s="1"/>
  <c r="S24" i="12"/>
  <c r="R24" i="12"/>
  <c r="Q24" i="12"/>
  <c r="P24" i="12"/>
  <c r="P40" i="12" s="1"/>
  <c r="N24" i="12"/>
  <c r="L24" i="12"/>
  <c r="L40" i="12" s="1"/>
  <c r="K24" i="12"/>
  <c r="M24" i="12" s="1"/>
  <c r="J24" i="12"/>
  <c r="H24" i="12"/>
  <c r="H40" i="12" s="1"/>
  <c r="G24" i="12"/>
  <c r="F24" i="12"/>
  <c r="E24" i="12"/>
  <c r="D24" i="12"/>
  <c r="D40" i="12" s="1"/>
  <c r="Y23" i="12"/>
  <c r="AA23" i="12" s="1"/>
  <c r="S23" i="12"/>
  <c r="U23" i="12" s="1"/>
  <c r="M23" i="12"/>
  <c r="O23" i="12" s="1"/>
  <c r="AB23" i="12" s="1"/>
  <c r="G23" i="12"/>
  <c r="I23" i="12" s="1"/>
  <c r="Y22" i="12"/>
  <c r="AA22" i="12" s="1"/>
  <c r="U22" i="12"/>
  <c r="S22" i="12"/>
  <c r="M22" i="12"/>
  <c r="O22" i="12" s="1"/>
  <c r="I22" i="12"/>
  <c r="G22" i="12"/>
  <c r="Y21" i="12"/>
  <c r="AA21" i="12" s="1"/>
  <c r="AB21" i="12" s="1"/>
  <c r="S21" i="12"/>
  <c r="U21" i="12" s="1"/>
  <c r="M21" i="12"/>
  <c r="O21" i="12" s="1"/>
  <c r="G21" i="12"/>
  <c r="I21" i="12" s="1"/>
  <c r="AA20" i="12"/>
  <c r="AB20" i="12" s="1"/>
  <c r="Y20" i="12"/>
  <c r="S20" i="12"/>
  <c r="U20" i="12" s="1"/>
  <c r="O20" i="12"/>
  <c r="M20" i="12"/>
  <c r="G20" i="12"/>
  <c r="I20" i="12" s="1"/>
  <c r="Y19" i="12"/>
  <c r="AA19" i="12" s="1"/>
  <c r="AB19" i="12" s="1"/>
  <c r="S19" i="12"/>
  <c r="U19" i="12" s="1"/>
  <c r="M19" i="12"/>
  <c r="O19" i="12" s="1"/>
  <c r="G19" i="12"/>
  <c r="I19" i="12" s="1"/>
  <c r="Y18" i="12"/>
  <c r="AA18" i="12" s="1"/>
  <c r="AB18" i="12" s="1"/>
  <c r="U18" i="12"/>
  <c r="S18" i="12"/>
  <c r="M18" i="12"/>
  <c r="O18" i="12" s="1"/>
  <c r="I18" i="12"/>
  <c r="G18" i="12"/>
  <c r="Y17" i="12"/>
  <c r="AA17" i="12" s="1"/>
  <c r="AB17" i="12" s="1"/>
  <c r="S17" i="12"/>
  <c r="U17" i="12" s="1"/>
  <c r="M17" i="12"/>
  <c r="O17" i="12" s="1"/>
  <c r="G17" i="12"/>
  <c r="I17" i="12" s="1"/>
  <c r="AA16" i="12"/>
  <c r="AB16" i="12" s="1"/>
  <c r="Y16" i="12"/>
  <c r="S16" i="12"/>
  <c r="U16" i="12" s="1"/>
  <c r="O16" i="12"/>
  <c r="M16" i="12"/>
  <c r="G16" i="12"/>
  <c r="I16" i="12" s="1"/>
  <c r="Y15" i="12"/>
  <c r="AA15" i="12" s="1"/>
  <c r="AA24" i="12" s="1"/>
  <c r="S15" i="12"/>
  <c r="U15" i="12" s="1"/>
  <c r="U24" i="12" s="1"/>
  <c r="M15" i="12"/>
  <c r="O15" i="12" s="1"/>
  <c r="G15" i="12"/>
  <c r="I15" i="12" s="1"/>
  <c r="Y40" i="12" l="1"/>
  <c r="AB29" i="12"/>
  <c r="AB35" i="12"/>
  <c r="AB24" i="12"/>
  <c r="I39" i="12"/>
  <c r="I24" i="12"/>
  <c r="I40" i="12" s="1"/>
  <c r="I41" i="12" s="1"/>
  <c r="AB15" i="12"/>
  <c r="AB28" i="12"/>
  <c r="AB33" i="12"/>
  <c r="O39" i="12"/>
  <c r="AB37" i="12"/>
  <c r="O24" i="12"/>
  <c r="AB22" i="12"/>
  <c r="M40" i="12"/>
  <c r="U39" i="12"/>
  <c r="U40" i="12" s="1"/>
  <c r="U41" i="12" s="1"/>
  <c r="Y32" i="12"/>
  <c r="AA32" i="12" s="1"/>
  <c r="AB32" i="12" s="1"/>
  <c r="S39" i="12"/>
  <c r="S40" i="12" s="1"/>
  <c r="V40" i="12"/>
  <c r="K40" i="12"/>
  <c r="W40" i="12"/>
  <c r="G39" i="12"/>
  <c r="G40" i="12" s="1"/>
  <c r="J40" i="12"/>
  <c r="O40" i="12" l="1"/>
  <c r="O41" i="12" s="1"/>
  <c r="AA39" i="12"/>
  <c r="AB39" i="12" l="1"/>
  <c r="AA40" i="12"/>
  <c r="AA41" i="12" l="1"/>
  <c r="AB41" i="12" s="1"/>
  <c r="AB40" i="12"/>
  <c r="Y54" i="11" l="1"/>
  <c r="S54" i="11"/>
  <c r="M54" i="11"/>
  <c r="G54" i="11"/>
  <c r="Y53" i="11"/>
  <c r="S53" i="11"/>
  <c r="M53" i="11"/>
  <c r="G53" i="11"/>
  <c r="Y52" i="11"/>
  <c r="S52" i="11"/>
  <c r="M52" i="11"/>
  <c r="G52" i="11"/>
  <c r="Y51" i="11"/>
  <c r="S51" i="11"/>
  <c r="M51" i="11"/>
  <c r="G51" i="11"/>
  <c r="Y50" i="11"/>
  <c r="S50" i="11"/>
  <c r="M50" i="11"/>
  <c r="G50" i="11"/>
  <c r="Z40" i="11"/>
  <c r="V40" i="11"/>
  <c r="R40" i="11"/>
  <c r="N40" i="11"/>
  <c r="J40" i="11"/>
  <c r="F40" i="11"/>
  <c r="Z39" i="11"/>
  <c r="X39" i="11"/>
  <c r="W39" i="11"/>
  <c r="Y39" i="11" s="1"/>
  <c r="V39" i="11"/>
  <c r="T39" i="11"/>
  <c r="S39" i="11"/>
  <c r="R39" i="11"/>
  <c r="Q39" i="11"/>
  <c r="P39" i="11"/>
  <c r="N39" i="11"/>
  <c r="L39" i="11"/>
  <c r="K39" i="11"/>
  <c r="M39" i="11" s="1"/>
  <c r="J39" i="11"/>
  <c r="H39" i="11"/>
  <c r="G39" i="11"/>
  <c r="F39" i="11"/>
  <c r="E39" i="11"/>
  <c r="D39" i="11"/>
  <c r="AB38" i="11"/>
  <c r="Y38" i="11"/>
  <c r="AA38" i="11" s="1"/>
  <c r="S38" i="11"/>
  <c r="U38" i="11" s="1"/>
  <c r="M38" i="11"/>
  <c r="O38" i="11" s="1"/>
  <c r="G38" i="11"/>
  <c r="I38" i="11" s="1"/>
  <c r="Y37" i="11"/>
  <c r="AA37" i="11" s="1"/>
  <c r="U37" i="11"/>
  <c r="S37" i="11"/>
  <c r="M37" i="11"/>
  <c r="O37" i="11" s="1"/>
  <c r="I37" i="11"/>
  <c r="G37" i="11"/>
  <c r="Y36" i="11"/>
  <c r="AA36" i="11" s="1"/>
  <c r="AB36" i="11" s="1"/>
  <c r="S36" i="11"/>
  <c r="U36" i="11" s="1"/>
  <c r="M36" i="11"/>
  <c r="O36" i="11" s="1"/>
  <c r="G36" i="11"/>
  <c r="I36" i="11" s="1"/>
  <c r="AA35" i="11"/>
  <c r="AB35" i="11" s="1"/>
  <c r="Y35" i="11"/>
  <c r="S35" i="11"/>
  <c r="U35" i="11" s="1"/>
  <c r="O35" i="11"/>
  <c r="O39" i="11" s="1"/>
  <c r="M35" i="11"/>
  <c r="G35" i="11"/>
  <c r="I35" i="11" s="1"/>
  <c r="Y34" i="11"/>
  <c r="AA34" i="11" s="1"/>
  <c r="AB34" i="11" s="1"/>
  <c r="S34" i="11"/>
  <c r="U34" i="11" s="1"/>
  <c r="M34" i="11"/>
  <c r="O34" i="11" s="1"/>
  <c r="G34" i="11"/>
  <c r="I34" i="11" s="1"/>
  <c r="Y33" i="11"/>
  <c r="AA33" i="11" s="1"/>
  <c r="AB33" i="11" s="1"/>
  <c r="U33" i="11"/>
  <c r="S33" i="11"/>
  <c r="M33" i="11"/>
  <c r="O33" i="11" s="1"/>
  <c r="I33" i="11"/>
  <c r="G33" i="11"/>
  <c r="Y32" i="11"/>
  <c r="AA32" i="11" s="1"/>
  <c r="AB32" i="11" s="1"/>
  <c r="S32" i="11"/>
  <c r="U32" i="11" s="1"/>
  <c r="M32" i="11"/>
  <c r="O32" i="11" s="1"/>
  <c r="G32" i="11"/>
  <c r="I32" i="11" s="1"/>
  <c r="AA31" i="11"/>
  <c r="AB31" i="11" s="1"/>
  <c r="Y31" i="11"/>
  <c r="S31" i="11"/>
  <c r="U31" i="11" s="1"/>
  <c r="O31" i="11"/>
  <c r="M31" i="11"/>
  <c r="G31" i="11"/>
  <c r="I31" i="11" s="1"/>
  <c r="Y30" i="11"/>
  <c r="AA30" i="11" s="1"/>
  <c r="AB30" i="11" s="1"/>
  <c r="S30" i="11"/>
  <c r="U30" i="11" s="1"/>
  <c r="M30" i="11"/>
  <c r="O30" i="11" s="1"/>
  <c r="G30" i="11"/>
  <c r="I30" i="11" s="1"/>
  <c r="Y29" i="11"/>
  <c r="AA29" i="11" s="1"/>
  <c r="AB29" i="11" s="1"/>
  <c r="U29" i="11"/>
  <c r="S29" i="11"/>
  <c r="M29" i="11"/>
  <c r="O29" i="11" s="1"/>
  <c r="I29" i="11"/>
  <c r="G29" i="11"/>
  <c r="Y28" i="11"/>
  <c r="AA28" i="11" s="1"/>
  <c r="S28" i="11"/>
  <c r="U28" i="11" s="1"/>
  <c r="M28" i="11"/>
  <c r="O28" i="11" s="1"/>
  <c r="G28" i="11"/>
  <c r="I28" i="11" s="1"/>
  <c r="Z24" i="11"/>
  <c r="X24" i="11"/>
  <c r="X40" i="11" s="1"/>
  <c r="W24" i="11"/>
  <c r="V24" i="11"/>
  <c r="T24" i="11"/>
  <c r="T40" i="11" s="1"/>
  <c r="S24" i="11"/>
  <c r="S40" i="11" s="1"/>
  <c r="R24" i="11"/>
  <c r="Q24" i="11"/>
  <c r="Q40" i="11" s="1"/>
  <c r="P24" i="11"/>
  <c r="P40" i="11" s="1"/>
  <c r="N24" i="11"/>
  <c r="L24" i="11"/>
  <c r="L40" i="11" s="1"/>
  <c r="K24" i="11"/>
  <c r="J24" i="11"/>
  <c r="H24" i="11"/>
  <c r="H40" i="11" s="1"/>
  <c r="F24" i="11"/>
  <c r="E24" i="11"/>
  <c r="E40" i="11" s="1"/>
  <c r="D24" i="11"/>
  <c r="D40" i="11" s="1"/>
  <c r="Y23" i="11"/>
  <c r="AA23" i="11" s="1"/>
  <c r="AB23" i="11" s="1"/>
  <c r="S23" i="11"/>
  <c r="U23" i="11" s="1"/>
  <c r="M23" i="11"/>
  <c r="O23" i="11" s="1"/>
  <c r="G23" i="11"/>
  <c r="I23" i="11" s="1"/>
  <c r="Y22" i="11"/>
  <c r="AA22" i="11" s="1"/>
  <c r="AB22" i="11" s="1"/>
  <c r="U22" i="11"/>
  <c r="S22" i="11"/>
  <c r="M22" i="11"/>
  <c r="O22" i="11" s="1"/>
  <c r="I22" i="11"/>
  <c r="G22" i="11"/>
  <c r="Y21" i="11"/>
  <c r="AA21" i="11" s="1"/>
  <c r="AB21" i="11" s="1"/>
  <c r="S21" i="11"/>
  <c r="U21" i="11" s="1"/>
  <c r="M21" i="11"/>
  <c r="O21" i="11" s="1"/>
  <c r="G21" i="11"/>
  <c r="I21" i="11" s="1"/>
  <c r="AA20" i="11"/>
  <c r="Y20" i="11"/>
  <c r="S20" i="11"/>
  <c r="U20" i="11" s="1"/>
  <c r="O20" i="11"/>
  <c r="AB20" i="11" s="1"/>
  <c r="M20" i="11"/>
  <c r="I20" i="11"/>
  <c r="AA19" i="11"/>
  <c r="AB19" i="11" s="1"/>
  <c r="Y19" i="11"/>
  <c r="S19" i="11"/>
  <c r="U19" i="11" s="1"/>
  <c r="O19" i="11"/>
  <c r="M19" i="11"/>
  <c r="G19" i="11"/>
  <c r="I19" i="11" s="1"/>
  <c r="Y18" i="11"/>
  <c r="AA18" i="11" s="1"/>
  <c r="AB18" i="11" s="1"/>
  <c r="U18" i="11"/>
  <c r="S18" i="11"/>
  <c r="M18" i="11"/>
  <c r="O18" i="11" s="1"/>
  <c r="G18" i="11"/>
  <c r="I18" i="11" s="1"/>
  <c r="Y17" i="11"/>
  <c r="AA17" i="11" s="1"/>
  <c r="U17" i="11"/>
  <c r="S17" i="11"/>
  <c r="M17" i="11"/>
  <c r="O17" i="11" s="1"/>
  <c r="I17" i="11"/>
  <c r="G17" i="11"/>
  <c r="Y16" i="11"/>
  <c r="AA16" i="11" s="1"/>
  <c r="S16" i="11"/>
  <c r="U16" i="11" s="1"/>
  <c r="M16" i="11"/>
  <c r="O16" i="11" s="1"/>
  <c r="O24" i="11" s="1"/>
  <c r="O40" i="11" s="1"/>
  <c r="O41" i="11" s="1"/>
  <c r="G16" i="11"/>
  <c r="I16" i="11" s="1"/>
  <c r="AA15" i="11"/>
  <c r="Y15" i="11"/>
  <c r="S15" i="11"/>
  <c r="U15" i="11" s="1"/>
  <c r="U24" i="11" s="1"/>
  <c r="O15" i="11"/>
  <c r="M15" i="11"/>
  <c r="G15" i="11"/>
  <c r="I15" i="11" s="1"/>
  <c r="AA24" i="11" l="1"/>
  <c r="AB16" i="11"/>
  <c r="Y24" i="11"/>
  <c r="Y40" i="11" s="1"/>
  <c r="W40" i="11"/>
  <c r="I39" i="11"/>
  <c r="AA39" i="11"/>
  <c r="AB39" i="11" s="1"/>
  <c r="I24" i="11"/>
  <c r="I40" i="11" s="1"/>
  <c r="I41" i="11" s="1"/>
  <c r="M24" i="11"/>
  <c r="M40" i="11" s="1"/>
  <c r="K40" i="11"/>
  <c r="AB15" i="11"/>
  <c r="AB17" i="11"/>
  <c r="G24" i="11"/>
  <c r="G40" i="11" s="1"/>
  <c r="AB28" i="11"/>
  <c r="U39" i="11"/>
  <c r="U40" i="11" s="1"/>
  <c r="U41" i="11" s="1"/>
  <c r="AB37" i="11"/>
  <c r="AB24" i="11" l="1"/>
  <c r="AA40" i="11"/>
  <c r="AA41" i="11" l="1"/>
  <c r="AB41" i="11" s="1"/>
  <c r="AB40" i="11"/>
  <c r="Y54" i="10" l="1"/>
  <c r="M54" i="10"/>
  <c r="Y53" i="10"/>
  <c r="M53" i="10"/>
  <c r="Y52" i="10"/>
  <c r="M52" i="10"/>
  <c r="Y51" i="10"/>
  <c r="M51" i="10"/>
  <c r="X50" i="10"/>
  <c r="W50" i="10"/>
  <c r="R50" i="10"/>
  <c r="Q50" i="10"/>
  <c r="P50" i="10"/>
  <c r="S50" i="10" s="1"/>
  <c r="V50" i="10" s="1"/>
  <c r="Y50" i="10" s="1"/>
  <c r="L50" i="10"/>
  <c r="K50" i="10"/>
  <c r="J50" i="10"/>
  <c r="M50" i="10" s="1"/>
  <c r="G50" i="10"/>
  <c r="I41" i="10"/>
  <c r="X40" i="10"/>
  <c r="W40" i="10"/>
  <c r="T40" i="10"/>
  <c r="P40" i="10"/>
  <c r="L40" i="10"/>
  <c r="K40" i="10"/>
  <c r="D40" i="10"/>
  <c r="Z39" i="10"/>
  <c r="Y39" i="10"/>
  <c r="X39" i="10"/>
  <c r="W39" i="10"/>
  <c r="V39" i="10"/>
  <c r="T39" i="10"/>
  <c r="R39" i="10"/>
  <c r="Q39" i="10"/>
  <c r="Q40" i="10" s="1"/>
  <c r="P39" i="10"/>
  <c r="N39" i="10"/>
  <c r="M39" i="10"/>
  <c r="L39" i="10"/>
  <c r="K39" i="10"/>
  <c r="J39" i="10"/>
  <c r="E39" i="10"/>
  <c r="E40" i="10" s="1"/>
  <c r="D39" i="10"/>
  <c r="AA38" i="10"/>
  <c r="AB38" i="10" s="1"/>
  <c r="R38" i="10"/>
  <c r="S38" i="10" s="1"/>
  <c r="U38" i="10" s="1"/>
  <c r="O38" i="10"/>
  <c r="I38" i="10"/>
  <c r="AA37" i="10"/>
  <c r="AB37" i="10" s="1"/>
  <c r="S37" i="10"/>
  <c r="U37" i="10" s="1"/>
  <c r="I37" i="10"/>
  <c r="AA36" i="10"/>
  <c r="AA39" i="10" s="1"/>
  <c r="U36" i="10"/>
  <c r="S36" i="10"/>
  <c r="M36" i="10"/>
  <c r="O36" i="10" s="1"/>
  <c r="I36" i="10"/>
  <c r="S35" i="10"/>
  <c r="U35" i="10" s="1"/>
  <c r="O35" i="10"/>
  <c r="AB35" i="10" s="1"/>
  <c r="I35" i="10"/>
  <c r="S34" i="10"/>
  <c r="U34" i="10" s="1"/>
  <c r="Q34" i="10"/>
  <c r="O34" i="10"/>
  <c r="AB34" i="10" s="1"/>
  <c r="I34" i="10"/>
  <c r="AB33" i="10"/>
  <c r="T33" i="10"/>
  <c r="U33" i="10" s="1"/>
  <c r="O33" i="10"/>
  <c r="I33" i="10"/>
  <c r="AA32" i="10"/>
  <c r="AB32" i="10" s="1"/>
  <c r="S32" i="10"/>
  <c r="U32" i="10" s="1"/>
  <c r="Q32" i="10"/>
  <c r="O32" i="10"/>
  <c r="I32" i="10"/>
  <c r="AA31" i="10"/>
  <c r="S31" i="10"/>
  <c r="U31" i="10" s="1"/>
  <c r="O31" i="10"/>
  <c r="AB31" i="10" s="1"/>
  <c r="I31" i="10"/>
  <c r="AA30" i="10"/>
  <c r="AB30" i="10" s="1"/>
  <c r="U30" i="10"/>
  <c r="S30" i="10"/>
  <c r="O30" i="10"/>
  <c r="I30" i="10"/>
  <c r="AB29" i="10"/>
  <c r="AA29" i="10"/>
  <c r="U29" i="10"/>
  <c r="O29" i="10"/>
  <c r="I29" i="10"/>
  <c r="AA28" i="10"/>
  <c r="AB28" i="10" s="1"/>
  <c r="U28" i="10"/>
  <c r="O28" i="10"/>
  <c r="I28" i="10"/>
  <c r="Z24" i="10"/>
  <c r="Z40" i="10" s="1"/>
  <c r="X24" i="10"/>
  <c r="W24" i="10"/>
  <c r="V24" i="10"/>
  <c r="V40" i="10" s="1"/>
  <c r="T24" i="10"/>
  <c r="Q24" i="10"/>
  <c r="P24" i="10"/>
  <c r="N24" i="10"/>
  <c r="N40" i="10" s="1"/>
  <c r="L24" i="10"/>
  <c r="K24" i="10"/>
  <c r="J24" i="10"/>
  <c r="J40" i="10" s="1"/>
  <c r="H24" i="10"/>
  <c r="H40" i="10" s="1"/>
  <c r="G24" i="10"/>
  <c r="F24" i="10"/>
  <c r="E24" i="10"/>
  <c r="D24" i="10"/>
  <c r="AA23" i="10"/>
  <c r="AB23" i="10" s="1"/>
  <c r="Y23" i="10"/>
  <c r="U23" i="10"/>
  <c r="M23" i="10"/>
  <c r="O23" i="10" s="1"/>
  <c r="G23" i="10"/>
  <c r="I23" i="10" s="1"/>
  <c r="AA22" i="10"/>
  <c r="AB22" i="10" s="1"/>
  <c r="U22" i="10"/>
  <c r="R22" i="10"/>
  <c r="I22" i="10"/>
  <c r="Y21" i="10"/>
  <c r="AA21" i="10" s="1"/>
  <c r="AB21" i="10" s="1"/>
  <c r="U21" i="10"/>
  <c r="R21" i="10"/>
  <c r="R24" i="10" s="1"/>
  <c r="O21" i="10"/>
  <c r="I21" i="10"/>
  <c r="AA20" i="10"/>
  <c r="AB20" i="10" s="1"/>
  <c r="U20" i="10"/>
  <c r="O20" i="10"/>
  <c r="I20" i="10"/>
  <c r="Y19" i="10"/>
  <c r="AA19" i="10" s="1"/>
  <c r="AB19" i="10" s="1"/>
  <c r="S19" i="10"/>
  <c r="U19" i="10" s="1"/>
  <c r="M19" i="10"/>
  <c r="O19" i="10" s="1"/>
  <c r="G19" i="10"/>
  <c r="I19" i="10" s="1"/>
  <c r="Y18" i="10"/>
  <c r="AA18" i="10" s="1"/>
  <c r="AB18" i="10" s="1"/>
  <c r="U18" i="10"/>
  <c r="O18" i="10"/>
  <c r="I18" i="10"/>
  <c r="AA17" i="10"/>
  <c r="AB17" i="10" s="1"/>
  <c r="Y17" i="10"/>
  <c r="S17" i="10"/>
  <c r="U17" i="10" s="1"/>
  <c r="O17" i="10"/>
  <c r="M17" i="10"/>
  <c r="M24" i="10" s="1"/>
  <c r="M40" i="10" s="1"/>
  <c r="I17" i="10"/>
  <c r="AA16" i="10"/>
  <c r="AB16" i="10" s="1"/>
  <c r="Y16" i="10"/>
  <c r="Y24" i="10" s="1"/>
  <c r="Y40" i="10" s="1"/>
  <c r="S16" i="10"/>
  <c r="U16" i="10" s="1"/>
  <c r="O16" i="10"/>
  <c r="I16" i="10"/>
  <c r="AA15" i="10"/>
  <c r="AB15" i="10" s="1"/>
  <c r="U15" i="10"/>
  <c r="O15" i="10"/>
  <c r="I15" i="10"/>
  <c r="I24" i="10" s="1"/>
  <c r="O24" i="10" l="1"/>
  <c r="R40" i="10"/>
  <c r="S24" i="10"/>
  <c r="S40" i="10" s="1"/>
  <c r="U24" i="10"/>
  <c r="U40" i="10" s="1"/>
  <c r="U41" i="10" s="1"/>
  <c r="U39" i="10"/>
  <c r="AB39" i="10"/>
  <c r="AA24" i="10"/>
  <c r="AB36" i="10"/>
  <c r="O39" i="10"/>
  <c r="S39" i="10"/>
  <c r="AB24" i="10" l="1"/>
  <c r="AA40" i="10"/>
  <c r="O40" i="10"/>
  <c r="O41" i="10" s="1"/>
  <c r="AA41" i="10" l="1"/>
  <c r="AB41" i="10" s="1"/>
  <c r="AB40" i="10"/>
  <c r="Y54" i="9" l="1"/>
  <c r="S54" i="9"/>
  <c r="M54" i="9"/>
  <c r="G54" i="9"/>
  <c r="Y53" i="9"/>
  <c r="S53" i="9"/>
  <c r="M53" i="9"/>
  <c r="G53" i="9"/>
  <c r="Y52" i="9"/>
  <c r="S52" i="9"/>
  <c r="M52" i="9"/>
  <c r="G52" i="9"/>
  <c r="Y51" i="9"/>
  <c r="S51" i="9"/>
  <c r="M51" i="9"/>
  <c r="G51" i="9"/>
  <c r="Y50" i="9"/>
  <c r="S50" i="9"/>
  <c r="M50" i="9"/>
  <c r="G50" i="9"/>
  <c r="Z40" i="9"/>
  <c r="X40" i="9"/>
  <c r="V40" i="9"/>
  <c r="T40" i="9"/>
  <c r="R40" i="9"/>
  <c r="P40" i="9"/>
  <c r="N40" i="9"/>
  <c r="L40" i="9"/>
  <c r="J40" i="9"/>
  <c r="H40" i="9"/>
  <c r="F40" i="9"/>
  <c r="D40" i="9"/>
  <c r="Z39" i="9"/>
  <c r="X39" i="9"/>
  <c r="W39" i="9"/>
  <c r="Y39" i="9" s="1"/>
  <c r="V39" i="9"/>
  <c r="T39" i="9"/>
  <c r="S39" i="9"/>
  <c r="R39" i="9"/>
  <c r="Q39" i="9"/>
  <c r="P39" i="9"/>
  <c r="N39" i="9"/>
  <c r="L39" i="9"/>
  <c r="K39" i="9"/>
  <c r="M39" i="9" s="1"/>
  <c r="J39" i="9"/>
  <c r="H39" i="9"/>
  <c r="G39" i="9"/>
  <c r="F39" i="9"/>
  <c r="E39" i="9"/>
  <c r="D39" i="9"/>
  <c r="Y38" i="9"/>
  <c r="AA38" i="9" s="1"/>
  <c r="AB38" i="9" s="1"/>
  <c r="S38" i="9"/>
  <c r="U38" i="9" s="1"/>
  <c r="M38" i="9"/>
  <c r="O38" i="9" s="1"/>
  <c r="G38" i="9"/>
  <c r="Y37" i="9"/>
  <c r="AA37" i="9" s="1"/>
  <c r="AB37" i="9" s="1"/>
  <c r="S37" i="9"/>
  <c r="U37" i="9" s="1"/>
  <c r="M37" i="9"/>
  <c r="O37" i="9" s="1"/>
  <c r="G37" i="9"/>
  <c r="I37" i="9" s="1"/>
  <c r="AA36" i="9"/>
  <c r="AB36" i="9" s="1"/>
  <c r="Y36" i="9"/>
  <c r="U36" i="9"/>
  <c r="S36" i="9"/>
  <c r="O36" i="9"/>
  <c r="M36" i="9"/>
  <c r="I36" i="9"/>
  <c r="G36" i="9"/>
  <c r="Y35" i="9"/>
  <c r="AA35" i="9" s="1"/>
  <c r="S35" i="9"/>
  <c r="U35" i="9" s="1"/>
  <c r="M35" i="9"/>
  <c r="O35" i="9" s="1"/>
  <c r="G35" i="9"/>
  <c r="I35" i="9" s="1"/>
  <c r="AA34" i="9"/>
  <c r="AB34" i="9" s="1"/>
  <c r="Y34" i="9"/>
  <c r="U34" i="9"/>
  <c r="S34" i="9"/>
  <c r="O34" i="9"/>
  <c r="M34" i="9"/>
  <c r="I34" i="9"/>
  <c r="G34" i="9"/>
  <c r="Y33" i="9"/>
  <c r="AA33" i="9" s="1"/>
  <c r="AB33" i="9" s="1"/>
  <c r="S33" i="9"/>
  <c r="U33" i="9" s="1"/>
  <c r="M33" i="9"/>
  <c r="O33" i="9" s="1"/>
  <c r="G33" i="9"/>
  <c r="I33" i="9" s="1"/>
  <c r="AA32" i="9"/>
  <c r="AB32" i="9" s="1"/>
  <c r="Y32" i="9"/>
  <c r="U32" i="9"/>
  <c r="S32" i="9"/>
  <c r="O32" i="9"/>
  <c r="M32" i="9"/>
  <c r="I32" i="9"/>
  <c r="G32" i="9"/>
  <c r="Y31" i="9"/>
  <c r="AA31" i="9" s="1"/>
  <c r="AB31" i="9" s="1"/>
  <c r="S31" i="9"/>
  <c r="U31" i="9" s="1"/>
  <c r="M31" i="9"/>
  <c r="O31" i="9" s="1"/>
  <c r="G31" i="9"/>
  <c r="I31" i="9" s="1"/>
  <c r="AA30" i="9"/>
  <c r="AB30" i="9" s="1"/>
  <c r="Y30" i="9"/>
  <c r="U30" i="9"/>
  <c r="S30" i="9"/>
  <c r="O30" i="9"/>
  <c r="M30" i="9"/>
  <c r="I30" i="9"/>
  <c r="G30" i="9"/>
  <c r="Y29" i="9"/>
  <c r="AA29" i="9" s="1"/>
  <c r="AB29" i="9" s="1"/>
  <c r="S29" i="9"/>
  <c r="U29" i="9" s="1"/>
  <c r="M29" i="9"/>
  <c r="O29" i="9" s="1"/>
  <c r="I29" i="9"/>
  <c r="Y28" i="9"/>
  <c r="AA28" i="9" s="1"/>
  <c r="AB28" i="9" s="1"/>
  <c r="S28" i="9"/>
  <c r="U28" i="9" s="1"/>
  <c r="M28" i="9"/>
  <c r="O28" i="9" s="1"/>
  <c r="G28" i="9"/>
  <c r="I28" i="9" s="1"/>
  <c r="Z24" i="9"/>
  <c r="Y24" i="9"/>
  <c r="Y40" i="9" s="1"/>
  <c r="X24" i="9"/>
  <c r="W24" i="9"/>
  <c r="W40" i="9" s="1"/>
  <c r="V24" i="9"/>
  <c r="T24" i="9"/>
  <c r="R24" i="9"/>
  <c r="Q24" i="9"/>
  <c r="Q40" i="9" s="1"/>
  <c r="P24" i="9"/>
  <c r="N24" i="9"/>
  <c r="M24" i="9"/>
  <c r="L24" i="9"/>
  <c r="K24" i="9"/>
  <c r="K40" i="9" s="1"/>
  <c r="J24" i="9"/>
  <c r="H24" i="9"/>
  <c r="F24" i="9"/>
  <c r="E24" i="9"/>
  <c r="E40" i="9" s="1"/>
  <c r="D24" i="9"/>
  <c r="Y23" i="9"/>
  <c r="AA23" i="9" s="1"/>
  <c r="S23" i="9"/>
  <c r="U23" i="9" s="1"/>
  <c r="M23" i="9"/>
  <c r="O23" i="9" s="1"/>
  <c r="G23" i="9"/>
  <c r="I23" i="9" s="1"/>
  <c r="AA22" i="9"/>
  <c r="AB22" i="9" s="1"/>
  <c r="Y22" i="9"/>
  <c r="U22" i="9"/>
  <c r="S22" i="9"/>
  <c r="O22" i="9"/>
  <c r="M22" i="9"/>
  <c r="I22" i="9"/>
  <c r="G22" i="9"/>
  <c r="Y21" i="9"/>
  <c r="AA21" i="9" s="1"/>
  <c r="AB21" i="9" s="1"/>
  <c r="S21" i="9"/>
  <c r="U21" i="9" s="1"/>
  <c r="M21" i="9"/>
  <c r="O21" i="9" s="1"/>
  <c r="G21" i="9"/>
  <c r="I21" i="9" s="1"/>
  <c r="AA20" i="9"/>
  <c r="AB20" i="9" s="1"/>
  <c r="Y20" i="9"/>
  <c r="U20" i="9"/>
  <c r="S20" i="9"/>
  <c r="O20" i="9"/>
  <c r="M20" i="9"/>
  <c r="I20" i="9"/>
  <c r="AA19" i="9"/>
  <c r="AB19" i="9" s="1"/>
  <c r="Y19" i="9"/>
  <c r="U19" i="9"/>
  <c r="S19" i="9"/>
  <c r="O19" i="9"/>
  <c r="M19" i="9"/>
  <c r="I19" i="9"/>
  <c r="G19" i="9"/>
  <c r="Y18" i="9"/>
  <c r="AA18" i="9" s="1"/>
  <c r="S18" i="9"/>
  <c r="U18" i="9" s="1"/>
  <c r="M18" i="9"/>
  <c r="O18" i="9" s="1"/>
  <c r="G18" i="9"/>
  <c r="I18" i="9" s="1"/>
  <c r="AA17" i="9"/>
  <c r="AB17" i="9" s="1"/>
  <c r="Y17" i="9"/>
  <c r="U17" i="9"/>
  <c r="S17" i="9"/>
  <c r="O17" i="9"/>
  <c r="M17" i="9"/>
  <c r="I17" i="9"/>
  <c r="G17" i="9"/>
  <c r="Y16" i="9"/>
  <c r="AA16" i="9" s="1"/>
  <c r="S16" i="9"/>
  <c r="U16" i="9" s="1"/>
  <c r="M16" i="9"/>
  <c r="O16" i="9" s="1"/>
  <c r="G16" i="9"/>
  <c r="I16" i="9" s="1"/>
  <c r="AA15" i="9"/>
  <c r="AB15" i="9" s="1"/>
  <c r="Y15" i="9"/>
  <c r="U15" i="9"/>
  <c r="U24" i="9" s="1"/>
  <c r="S15" i="9"/>
  <c r="O15" i="9"/>
  <c r="O24" i="9" s="1"/>
  <c r="M15" i="9"/>
  <c r="I15" i="9"/>
  <c r="I24" i="9" s="1"/>
  <c r="G15" i="9"/>
  <c r="AB16" i="9" l="1"/>
  <c r="AB18" i="9"/>
  <c r="U39" i="9"/>
  <c r="AB35" i="9"/>
  <c r="AA39" i="9"/>
  <c r="U40" i="9"/>
  <c r="U41" i="9" s="1"/>
  <c r="I39" i="9"/>
  <c r="I40" i="9" s="1"/>
  <c r="I41" i="9" s="1"/>
  <c r="AB23" i="9"/>
  <c r="M40" i="9"/>
  <c r="O39" i="9"/>
  <c r="O40" i="9" s="1"/>
  <c r="O41" i="9" s="1"/>
  <c r="G24" i="9"/>
  <c r="G40" i="9" s="1"/>
  <c r="S24" i="9"/>
  <c r="S40" i="9" s="1"/>
  <c r="AA24" i="9"/>
  <c r="AB24" i="9" l="1"/>
  <c r="AA40" i="9"/>
  <c r="AB39" i="9"/>
  <c r="AA41" i="9" l="1"/>
  <c r="AB41" i="9" s="1"/>
  <c r="AB40" i="9"/>
  <c r="Y54" i="8" l="1"/>
  <c r="S54" i="8"/>
  <c r="M54" i="8"/>
  <c r="G54" i="8"/>
  <c r="Y53" i="8"/>
  <c r="S53" i="8"/>
  <c r="M53" i="8"/>
  <c r="G53" i="8"/>
  <c r="Y52" i="8"/>
  <c r="S52" i="8"/>
  <c r="M52" i="8"/>
  <c r="G52" i="8"/>
  <c r="Y51" i="8"/>
  <c r="S51" i="8"/>
  <c r="M51" i="8"/>
  <c r="G51" i="8"/>
  <c r="Y50" i="8"/>
  <c r="S50" i="8"/>
  <c r="M50" i="8"/>
  <c r="G50" i="8"/>
  <c r="Z40" i="8"/>
  <c r="X40" i="8"/>
  <c r="V40" i="8"/>
  <c r="T40" i="8"/>
  <c r="R40" i="8"/>
  <c r="P40" i="8"/>
  <c r="N40" i="8"/>
  <c r="L40" i="8"/>
  <c r="J40" i="8"/>
  <c r="H40" i="8"/>
  <c r="F40" i="8"/>
  <c r="D40" i="8"/>
  <c r="Z39" i="8"/>
  <c r="X39" i="8"/>
  <c r="W39" i="8"/>
  <c r="Y39" i="8" s="1"/>
  <c r="V39" i="8"/>
  <c r="T39" i="8"/>
  <c r="R39" i="8"/>
  <c r="Q39" i="8"/>
  <c r="S39" i="8" s="1"/>
  <c r="P39" i="8"/>
  <c r="N39" i="8"/>
  <c r="L39" i="8"/>
  <c r="K39" i="8"/>
  <c r="M39" i="8" s="1"/>
  <c r="J39" i="8"/>
  <c r="H39" i="8"/>
  <c r="F39" i="8"/>
  <c r="E39" i="8"/>
  <c r="G39" i="8" s="1"/>
  <c r="D39" i="8"/>
  <c r="Y38" i="8"/>
  <c r="AA38" i="8" s="1"/>
  <c r="S38" i="8"/>
  <c r="U38" i="8" s="1"/>
  <c r="M38" i="8"/>
  <c r="O38" i="8" s="1"/>
  <c r="G38" i="8"/>
  <c r="I38" i="8" s="1"/>
  <c r="AA37" i="8"/>
  <c r="AB37" i="8" s="1"/>
  <c r="Y37" i="8"/>
  <c r="U37" i="8"/>
  <c r="S37" i="8"/>
  <c r="O37" i="8"/>
  <c r="M37" i="8"/>
  <c r="I37" i="8"/>
  <c r="G37" i="8"/>
  <c r="Y36" i="8"/>
  <c r="AA36" i="8" s="1"/>
  <c r="S36" i="8"/>
  <c r="U36" i="8" s="1"/>
  <c r="M36" i="8"/>
  <c r="O36" i="8" s="1"/>
  <c r="G36" i="8"/>
  <c r="I36" i="8" s="1"/>
  <c r="AA35" i="8"/>
  <c r="AB35" i="8" s="1"/>
  <c r="Y35" i="8"/>
  <c r="U35" i="8"/>
  <c r="U39" i="8" s="1"/>
  <c r="S35" i="8"/>
  <c r="O35" i="8"/>
  <c r="M35" i="8"/>
  <c r="I35" i="8"/>
  <c r="G35" i="8"/>
  <c r="Y34" i="8"/>
  <c r="AA34" i="8" s="1"/>
  <c r="S34" i="8"/>
  <c r="U34" i="8" s="1"/>
  <c r="M34" i="8"/>
  <c r="O34" i="8" s="1"/>
  <c r="G34" i="8"/>
  <c r="I34" i="8" s="1"/>
  <c r="AA33" i="8"/>
  <c r="AB33" i="8" s="1"/>
  <c r="Y33" i="8"/>
  <c r="U33" i="8"/>
  <c r="S33" i="8"/>
  <c r="O33" i="8"/>
  <c r="M33" i="8"/>
  <c r="I33" i="8"/>
  <c r="G33" i="8"/>
  <c r="Y32" i="8"/>
  <c r="AA32" i="8" s="1"/>
  <c r="S32" i="8"/>
  <c r="U32" i="8" s="1"/>
  <c r="M32" i="8"/>
  <c r="O32" i="8" s="1"/>
  <c r="G32" i="8"/>
  <c r="I32" i="8" s="1"/>
  <c r="AA31" i="8"/>
  <c r="AB31" i="8" s="1"/>
  <c r="Y31" i="8"/>
  <c r="U31" i="8"/>
  <c r="S31" i="8"/>
  <c r="O31" i="8"/>
  <c r="M31" i="8"/>
  <c r="I31" i="8"/>
  <c r="G31" i="8"/>
  <c r="Y30" i="8"/>
  <c r="AA30" i="8" s="1"/>
  <c r="S30" i="8"/>
  <c r="U30" i="8" s="1"/>
  <c r="M30" i="8"/>
  <c r="O30" i="8" s="1"/>
  <c r="G30" i="8"/>
  <c r="I30" i="8" s="1"/>
  <c r="AA29" i="8"/>
  <c r="AB29" i="8" s="1"/>
  <c r="Y29" i="8"/>
  <c r="U29" i="8"/>
  <c r="S29" i="8"/>
  <c r="O29" i="8"/>
  <c r="M29" i="8"/>
  <c r="I29" i="8"/>
  <c r="G29" i="8"/>
  <c r="Y28" i="8"/>
  <c r="AA28" i="8" s="1"/>
  <c r="S28" i="8"/>
  <c r="U28" i="8" s="1"/>
  <c r="M28" i="8"/>
  <c r="O28" i="8" s="1"/>
  <c r="G28" i="8"/>
  <c r="I28" i="8" s="1"/>
  <c r="Z24" i="8"/>
  <c r="X24" i="8"/>
  <c r="W24" i="8"/>
  <c r="Y24" i="8" s="1"/>
  <c r="Y40" i="8" s="1"/>
  <c r="V24" i="8"/>
  <c r="T24" i="8"/>
  <c r="R24" i="8"/>
  <c r="Q24" i="8"/>
  <c r="Q40" i="8" s="1"/>
  <c r="P24" i="8"/>
  <c r="N24" i="8"/>
  <c r="L24" i="8"/>
  <c r="K24" i="8"/>
  <c r="M24" i="8" s="1"/>
  <c r="M40" i="8" s="1"/>
  <c r="J24" i="8"/>
  <c r="H24" i="8"/>
  <c r="F24" i="8"/>
  <c r="E24" i="8"/>
  <c r="E40" i="8" s="1"/>
  <c r="D24" i="8"/>
  <c r="Y23" i="8"/>
  <c r="AA23" i="8" s="1"/>
  <c r="S23" i="8"/>
  <c r="U23" i="8" s="1"/>
  <c r="M23" i="8"/>
  <c r="O23" i="8" s="1"/>
  <c r="G23" i="8"/>
  <c r="I23" i="8" s="1"/>
  <c r="AA22" i="8"/>
  <c r="AB22" i="8" s="1"/>
  <c r="Y22" i="8"/>
  <c r="U22" i="8"/>
  <c r="S22" i="8"/>
  <c r="O22" i="8"/>
  <c r="M22" i="8"/>
  <c r="I22" i="8"/>
  <c r="G22" i="8"/>
  <c r="Y21" i="8"/>
  <c r="AA21" i="8" s="1"/>
  <c r="S21" i="8"/>
  <c r="U21" i="8" s="1"/>
  <c r="M21" i="8"/>
  <c r="O21" i="8" s="1"/>
  <c r="G21" i="8"/>
  <c r="I21" i="8" s="1"/>
  <c r="AA20" i="8"/>
  <c r="AB20" i="8" s="1"/>
  <c r="Y20" i="8"/>
  <c r="U20" i="8"/>
  <c r="S20" i="8"/>
  <c r="O20" i="8"/>
  <c r="M20" i="8"/>
  <c r="I20" i="8"/>
  <c r="G20" i="8"/>
  <c r="Y19" i="8"/>
  <c r="AA19" i="8" s="1"/>
  <c r="S19" i="8"/>
  <c r="U19" i="8" s="1"/>
  <c r="M19" i="8"/>
  <c r="O19" i="8" s="1"/>
  <c r="G19" i="8"/>
  <c r="I19" i="8" s="1"/>
  <c r="AA18" i="8"/>
  <c r="AB18" i="8" s="1"/>
  <c r="Y18" i="8"/>
  <c r="U18" i="8"/>
  <c r="S18" i="8"/>
  <c r="O18" i="8"/>
  <c r="M18" i="8"/>
  <c r="I18" i="8"/>
  <c r="G18" i="8"/>
  <c r="Y17" i="8"/>
  <c r="AA17" i="8" s="1"/>
  <c r="S17" i="8"/>
  <c r="U17" i="8" s="1"/>
  <c r="M17" i="8"/>
  <c r="O17" i="8" s="1"/>
  <c r="G17" i="8"/>
  <c r="I17" i="8" s="1"/>
  <c r="AA16" i="8"/>
  <c r="AB16" i="8" s="1"/>
  <c r="Y16" i="8"/>
  <c r="U16" i="8"/>
  <c r="S16" i="8"/>
  <c r="O16" i="8"/>
  <c r="M16" i="8"/>
  <c r="I16" i="8"/>
  <c r="G16" i="8"/>
  <c r="Y15" i="8"/>
  <c r="AA15" i="8" s="1"/>
  <c r="S15" i="8"/>
  <c r="U15" i="8" s="1"/>
  <c r="U24" i="8" s="1"/>
  <c r="M15" i="8"/>
  <c r="O15" i="8" s="1"/>
  <c r="O24" i="8" s="1"/>
  <c r="G15" i="8"/>
  <c r="I15" i="8" s="1"/>
  <c r="I24" i="8" s="1"/>
  <c r="I39" i="8" l="1"/>
  <c r="U40" i="8"/>
  <c r="U41" i="8" s="1"/>
  <c r="I40" i="8"/>
  <c r="I41" i="8" s="1"/>
  <c r="O40" i="8"/>
  <c r="O41" i="8" s="1"/>
  <c r="AA24" i="8"/>
  <c r="AB15" i="8"/>
  <c r="AB17" i="8"/>
  <c r="AB19" i="8"/>
  <c r="AB21" i="8"/>
  <c r="AB23" i="8"/>
  <c r="AB28" i="8"/>
  <c r="AB30" i="8"/>
  <c r="AB32" i="8"/>
  <c r="AB34" i="8"/>
  <c r="O39" i="8"/>
  <c r="AB36" i="8"/>
  <c r="AB38" i="8"/>
  <c r="G24" i="8"/>
  <c r="G40" i="8" s="1"/>
  <c r="S24" i="8"/>
  <c r="S40" i="8" s="1"/>
  <c r="AA39" i="8"/>
  <c r="AB39" i="8" s="1"/>
  <c r="K40" i="8"/>
  <c r="W40" i="8"/>
  <c r="AA40" i="8" l="1"/>
  <c r="AB24" i="8"/>
  <c r="AA41" i="8" l="1"/>
  <c r="AB41" i="8" s="1"/>
  <c r="AB40" i="8"/>
  <c r="V54" i="7" l="1"/>
  <c r="Y54" i="7" s="1"/>
  <c r="S54" i="7"/>
  <c r="J54" i="7"/>
  <c r="G54" i="7"/>
  <c r="S53" i="7"/>
  <c r="V53" i="7" s="1"/>
  <c r="Y53" i="7" s="1"/>
  <c r="J53" i="7"/>
  <c r="S52" i="7"/>
  <c r="V52" i="7" s="1"/>
  <c r="Y52" i="7" s="1"/>
  <c r="G52" i="7"/>
  <c r="J52" i="7" s="1"/>
  <c r="V51" i="7"/>
  <c r="Y51" i="7" s="1"/>
  <c r="S51" i="7"/>
  <c r="J51" i="7"/>
  <c r="G51" i="7"/>
  <c r="S50" i="7"/>
  <c r="V50" i="7" s="1"/>
  <c r="Y50" i="7" s="1"/>
  <c r="G50" i="7"/>
  <c r="J50" i="7" s="1"/>
  <c r="Z39" i="7"/>
  <c r="X39" i="7"/>
  <c r="W39" i="7"/>
  <c r="Y39" i="7" s="1"/>
  <c r="V39" i="7"/>
  <c r="T39" i="7"/>
  <c r="S39" i="7"/>
  <c r="R39" i="7"/>
  <c r="Q39" i="7"/>
  <c r="P39" i="7"/>
  <c r="N39" i="7"/>
  <c r="L39" i="7"/>
  <c r="K39" i="7"/>
  <c r="M39" i="7" s="1"/>
  <c r="J39" i="7"/>
  <c r="H39" i="7"/>
  <c r="G39" i="7"/>
  <c r="F39" i="7"/>
  <c r="E39" i="7"/>
  <c r="D39" i="7"/>
  <c r="Y38" i="7"/>
  <c r="AA38" i="7" s="1"/>
  <c r="AB38" i="7" s="1"/>
  <c r="S38" i="7"/>
  <c r="U38" i="7" s="1"/>
  <c r="M38" i="7"/>
  <c r="O38" i="7" s="1"/>
  <c r="G38" i="7"/>
  <c r="I38" i="7" s="1"/>
  <c r="AA37" i="7"/>
  <c r="AB37" i="7" s="1"/>
  <c r="Y37" i="7"/>
  <c r="U37" i="7"/>
  <c r="S37" i="7"/>
  <c r="O37" i="7"/>
  <c r="M37" i="7"/>
  <c r="I37" i="7"/>
  <c r="G37" i="7"/>
  <c r="Y36" i="7"/>
  <c r="AA36" i="7" s="1"/>
  <c r="AB36" i="7" s="1"/>
  <c r="S36" i="7"/>
  <c r="U36" i="7" s="1"/>
  <c r="M36" i="7"/>
  <c r="O36" i="7" s="1"/>
  <c r="G36" i="7"/>
  <c r="I36" i="7" s="1"/>
  <c r="AA35" i="7"/>
  <c r="AB35" i="7" s="1"/>
  <c r="Y35" i="7"/>
  <c r="U35" i="7"/>
  <c r="S35" i="7"/>
  <c r="O35" i="7"/>
  <c r="O39" i="7" s="1"/>
  <c r="M35" i="7"/>
  <c r="I35" i="7"/>
  <c r="G35" i="7"/>
  <c r="Y34" i="7"/>
  <c r="AA34" i="7" s="1"/>
  <c r="AB34" i="7" s="1"/>
  <c r="S34" i="7"/>
  <c r="U34" i="7" s="1"/>
  <c r="M34" i="7"/>
  <c r="O34" i="7" s="1"/>
  <c r="G34" i="7"/>
  <c r="I34" i="7" s="1"/>
  <c r="AA33" i="7"/>
  <c r="AB33" i="7" s="1"/>
  <c r="Y33" i="7"/>
  <c r="U33" i="7"/>
  <c r="S33" i="7"/>
  <c r="O33" i="7"/>
  <c r="M33" i="7"/>
  <c r="I33" i="7"/>
  <c r="AA32" i="7"/>
  <c r="AB32" i="7" s="1"/>
  <c r="Y32" i="7"/>
  <c r="U32" i="7"/>
  <c r="S32" i="7"/>
  <c r="O32" i="7"/>
  <c r="M32" i="7"/>
  <c r="I32" i="7"/>
  <c r="G32" i="7"/>
  <c r="Y31" i="7"/>
  <c r="AA31" i="7" s="1"/>
  <c r="AB31" i="7" s="1"/>
  <c r="S31" i="7"/>
  <c r="U31" i="7" s="1"/>
  <c r="M31" i="7"/>
  <c r="O31" i="7" s="1"/>
  <c r="G31" i="7"/>
  <c r="I31" i="7" s="1"/>
  <c r="AA30" i="7"/>
  <c r="AB30" i="7" s="1"/>
  <c r="Y30" i="7"/>
  <c r="U30" i="7"/>
  <c r="S30" i="7"/>
  <c r="O30" i="7"/>
  <c r="M30" i="7"/>
  <c r="I30" i="7"/>
  <c r="G30" i="7"/>
  <c r="Y29" i="7"/>
  <c r="AA29" i="7" s="1"/>
  <c r="AB29" i="7" s="1"/>
  <c r="S29" i="7"/>
  <c r="U29" i="7" s="1"/>
  <c r="M29" i="7"/>
  <c r="O29" i="7" s="1"/>
  <c r="G29" i="7"/>
  <c r="I29" i="7" s="1"/>
  <c r="AA28" i="7"/>
  <c r="AB28" i="7" s="1"/>
  <c r="Y28" i="7"/>
  <c r="U28" i="7"/>
  <c r="S28" i="7"/>
  <c r="O28" i="7"/>
  <c r="M28" i="7"/>
  <c r="I28" i="7"/>
  <c r="G28" i="7"/>
  <c r="Z24" i="7"/>
  <c r="Z40" i="7" s="1"/>
  <c r="X24" i="7"/>
  <c r="X40" i="7" s="1"/>
  <c r="W24" i="7"/>
  <c r="W40" i="7" s="1"/>
  <c r="V24" i="7"/>
  <c r="Y24" i="7" s="1"/>
  <c r="Y40" i="7" s="1"/>
  <c r="T24" i="7"/>
  <c r="T40" i="7" s="1"/>
  <c r="R24" i="7"/>
  <c r="R40" i="7" s="1"/>
  <c r="Q24" i="7"/>
  <c r="Q40" i="7" s="1"/>
  <c r="P24" i="7"/>
  <c r="P40" i="7" s="1"/>
  <c r="N24" i="7"/>
  <c r="N40" i="7" s="1"/>
  <c r="L24" i="7"/>
  <c r="L40" i="7" s="1"/>
  <c r="K24" i="7"/>
  <c r="K40" i="7" s="1"/>
  <c r="J24" i="7"/>
  <c r="M24" i="7" s="1"/>
  <c r="M40" i="7" s="1"/>
  <c r="H24" i="7"/>
  <c r="H40" i="7" s="1"/>
  <c r="F24" i="7"/>
  <c r="F40" i="7" s="1"/>
  <c r="E24" i="7"/>
  <c r="E40" i="7" s="1"/>
  <c r="D24" i="7"/>
  <c r="D40" i="7" s="1"/>
  <c r="AA23" i="7"/>
  <c r="AB23" i="7" s="1"/>
  <c r="Y23" i="7"/>
  <c r="U23" i="7"/>
  <c r="S23" i="7"/>
  <c r="O23" i="7"/>
  <c r="M23" i="7"/>
  <c r="I23" i="7"/>
  <c r="G23" i="7"/>
  <c r="Y22" i="7"/>
  <c r="AA22" i="7" s="1"/>
  <c r="AB22" i="7" s="1"/>
  <c r="S22" i="7"/>
  <c r="U22" i="7" s="1"/>
  <c r="M22" i="7"/>
  <c r="O22" i="7" s="1"/>
  <c r="G22" i="7"/>
  <c r="I22" i="7" s="1"/>
  <c r="AA21" i="7"/>
  <c r="AB21" i="7" s="1"/>
  <c r="Y21" i="7"/>
  <c r="U21" i="7"/>
  <c r="S21" i="7"/>
  <c r="O21" i="7"/>
  <c r="M21" i="7"/>
  <c r="G21" i="7"/>
  <c r="AA20" i="7"/>
  <c r="AB20" i="7" s="1"/>
  <c r="Y20" i="7"/>
  <c r="U20" i="7"/>
  <c r="S20" i="7"/>
  <c r="O20" i="7"/>
  <c r="M20" i="7"/>
  <c r="Y19" i="7"/>
  <c r="AA19" i="7" s="1"/>
  <c r="AB19" i="7" s="1"/>
  <c r="S19" i="7"/>
  <c r="U19" i="7" s="1"/>
  <c r="M19" i="7"/>
  <c r="O19" i="7" s="1"/>
  <c r="G19" i="7"/>
  <c r="I19" i="7" s="1"/>
  <c r="AA18" i="7"/>
  <c r="AB18" i="7" s="1"/>
  <c r="Y18" i="7"/>
  <c r="U18" i="7"/>
  <c r="S18" i="7"/>
  <c r="O18" i="7"/>
  <c r="M18" i="7"/>
  <c r="I18" i="7"/>
  <c r="G18" i="7"/>
  <c r="Y17" i="7"/>
  <c r="AA17" i="7" s="1"/>
  <c r="AB17" i="7" s="1"/>
  <c r="S17" i="7"/>
  <c r="U17" i="7" s="1"/>
  <c r="M17" i="7"/>
  <c r="O17" i="7" s="1"/>
  <c r="G17" i="7"/>
  <c r="I17" i="7" s="1"/>
  <c r="AA16" i="7"/>
  <c r="AB16" i="7" s="1"/>
  <c r="Y16" i="7"/>
  <c r="U16" i="7"/>
  <c r="S16" i="7"/>
  <c r="O16" i="7"/>
  <c r="M16" i="7"/>
  <c r="I16" i="7"/>
  <c r="G16" i="7"/>
  <c r="Y15" i="7"/>
  <c r="AA15" i="7" s="1"/>
  <c r="S15" i="7"/>
  <c r="U15" i="7" s="1"/>
  <c r="U24" i="7" s="1"/>
  <c r="M15" i="7"/>
  <c r="O15" i="7" s="1"/>
  <c r="O24" i="7" s="1"/>
  <c r="O40" i="7" s="1"/>
  <c r="O41" i="7" s="1"/>
  <c r="G15" i="7"/>
  <c r="I15" i="7" s="1"/>
  <c r="I24" i="7" s="1"/>
  <c r="AA24" i="7" l="1"/>
  <c r="AB15" i="7"/>
  <c r="I39" i="7"/>
  <c r="I40" i="7" s="1"/>
  <c r="I41" i="7" s="1"/>
  <c r="U39" i="7"/>
  <c r="U40" i="7" s="1"/>
  <c r="U41" i="7" s="1"/>
  <c r="AA39" i="7"/>
  <c r="AB39" i="7" s="1"/>
  <c r="J40" i="7"/>
  <c r="V40" i="7"/>
  <c r="G24" i="7"/>
  <c r="G40" i="7" s="1"/>
  <c r="S24" i="7"/>
  <c r="S40" i="7" s="1"/>
  <c r="AB24" i="7" l="1"/>
  <c r="AA40" i="7"/>
  <c r="AA41" i="7" l="1"/>
  <c r="AB41" i="7" s="1"/>
  <c r="AB40" i="7"/>
  <c r="Y54" i="6" l="1"/>
  <c r="S54" i="6"/>
  <c r="M54" i="6"/>
  <c r="G54" i="6"/>
  <c r="Y53" i="6"/>
  <c r="S53" i="6"/>
  <c r="M53" i="6"/>
  <c r="G53" i="6"/>
  <c r="Y52" i="6"/>
  <c r="S52" i="6"/>
  <c r="M52" i="6"/>
  <c r="G52" i="6"/>
  <c r="Y51" i="6"/>
  <c r="S51" i="6"/>
  <c r="M51" i="6"/>
  <c r="G51" i="6"/>
  <c r="Y50" i="6"/>
  <c r="S50" i="6"/>
  <c r="M50" i="6"/>
  <c r="G50" i="6"/>
  <c r="Z40" i="6"/>
  <c r="V40" i="6"/>
  <c r="R40" i="6"/>
  <c r="N40" i="6"/>
  <c r="J40" i="6"/>
  <c r="F40" i="6"/>
  <c r="Z39" i="6"/>
  <c r="X39" i="6"/>
  <c r="W39" i="6"/>
  <c r="Y39" i="6" s="1"/>
  <c r="V39" i="6"/>
  <c r="T39" i="6"/>
  <c r="S39" i="6"/>
  <c r="R39" i="6"/>
  <c r="Q39" i="6"/>
  <c r="P39" i="6"/>
  <c r="N39" i="6"/>
  <c r="L39" i="6"/>
  <c r="K39" i="6"/>
  <c r="M39" i="6" s="1"/>
  <c r="J39" i="6"/>
  <c r="H39" i="6"/>
  <c r="G39" i="6"/>
  <c r="F39" i="6"/>
  <c r="E39" i="6"/>
  <c r="D39" i="6"/>
  <c r="AB38" i="6"/>
  <c r="Y38" i="6"/>
  <c r="AA38" i="6" s="1"/>
  <c r="S38" i="6"/>
  <c r="U38" i="6" s="1"/>
  <c r="M38" i="6"/>
  <c r="O38" i="6" s="1"/>
  <c r="G38" i="6"/>
  <c r="I38" i="6" s="1"/>
  <c r="Y37" i="6"/>
  <c r="AA37" i="6" s="1"/>
  <c r="U37" i="6"/>
  <c r="S37" i="6"/>
  <c r="M37" i="6"/>
  <c r="O37" i="6" s="1"/>
  <c r="I37" i="6"/>
  <c r="G37" i="6"/>
  <c r="Y36" i="6"/>
  <c r="AA36" i="6" s="1"/>
  <c r="AB36" i="6" s="1"/>
  <c r="S36" i="6"/>
  <c r="U36" i="6" s="1"/>
  <c r="M36" i="6"/>
  <c r="O36" i="6" s="1"/>
  <c r="G36" i="6"/>
  <c r="I36" i="6" s="1"/>
  <c r="AA35" i="6"/>
  <c r="AB35" i="6" s="1"/>
  <c r="Y35" i="6"/>
  <c r="S35" i="6"/>
  <c r="U35" i="6" s="1"/>
  <c r="O35" i="6"/>
  <c r="M35" i="6"/>
  <c r="G35" i="6"/>
  <c r="I35" i="6" s="1"/>
  <c r="Y34" i="6"/>
  <c r="AA34" i="6" s="1"/>
  <c r="AB34" i="6" s="1"/>
  <c r="U34" i="6"/>
  <c r="S34" i="6"/>
  <c r="M34" i="6"/>
  <c r="O34" i="6" s="1"/>
  <c r="G34" i="6"/>
  <c r="I34" i="6" s="1"/>
  <c r="Y33" i="6"/>
  <c r="AA33" i="6" s="1"/>
  <c r="U33" i="6"/>
  <c r="S33" i="6"/>
  <c r="M33" i="6"/>
  <c r="O33" i="6" s="1"/>
  <c r="I33" i="6"/>
  <c r="G33" i="6"/>
  <c r="Y32" i="6"/>
  <c r="AA32" i="6" s="1"/>
  <c r="S32" i="6"/>
  <c r="U32" i="6" s="1"/>
  <c r="M32" i="6"/>
  <c r="O32" i="6" s="1"/>
  <c r="G32" i="6"/>
  <c r="I32" i="6" s="1"/>
  <c r="AA31" i="6"/>
  <c r="AB31" i="6" s="1"/>
  <c r="Y31" i="6"/>
  <c r="S31" i="6"/>
  <c r="U31" i="6" s="1"/>
  <c r="O31" i="6"/>
  <c r="M31" i="6"/>
  <c r="G31" i="6"/>
  <c r="I31" i="6" s="1"/>
  <c r="Y30" i="6"/>
  <c r="AA30" i="6" s="1"/>
  <c r="S30" i="6"/>
  <c r="U30" i="6" s="1"/>
  <c r="M30" i="6"/>
  <c r="O30" i="6" s="1"/>
  <c r="AB30" i="6" s="1"/>
  <c r="G30" i="6"/>
  <c r="I30" i="6" s="1"/>
  <c r="Y29" i="6"/>
  <c r="AA29" i="6" s="1"/>
  <c r="AB29" i="6" s="1"/>
  <c r="U29" i="6"/>
  <c r="S29" i="6"/>
  <c r="M29" i="6"/>
  <c r="O29" i="6" s="1"/>
  <c r="I29" i="6"/>
  <c r="G29" i="6"/>
  <c r="Y28" i="6"/>
  <c r="AA28" i="6" s="1"/>
  <c r="AB28" i="6" s="1"/>
  <c r="S28" i="6"/>
  <c r="U28" i="6" s="1"/>
  <c r="O28" i="6"/>
  <c r="M28" i="6"/>
  <c r="G28" i="6"/>
  <c r="I28" i="6" s="1"/>
  <c r="Z24" i="6"/>
  <c r="X24" i="6"/>
  <c r="X40" i="6" s="1"/>
  <c r="W24" i="6"/>
  <c r="V24" i="6"/>
  <c r="T24" i="6"/>
  <c r="T40" i="6" s="1"/>
  <c r="S24" i="6"/>
  <c r="S40" i="6" s="1"/>
  <c r="R24" i="6"/>
  <c r="Q24" i="6"/>
  <c r="Q40" i="6" s="1"/>
  <c r="P24" i="6"/>
  <c r="P40" i="6" s="1"/>
  <c r="N24" i="6"/>
  <c r="L24" i="6"/>
  <c r="L40" i="6" s="1"/>
  <c r="K24" i="6"/>
  <c r="J24" i="6"/>
  <c r="H24" i="6"/>
  <c r="H40" i="6" s="1"/>
  <c r="G24" i="6"/>
  <c r="G40" i="6" s="1"/>
  <c r="F24" i="6"/>
  <c r="E24" i="6"/>
  <c r="E40" i="6" s="1"/>
  <c r="D24" i="6"/>
  <c r="D40" i="6" s="1"/>
  <c r="Y23" i="6"/>
  <c r="AA23" i="6" s="1"/>
  <c r="S23" i="6"/>
  <c r="U23" i="6" s="1"/>
  <c r="M23" i="6"/>
  <c r="O23" i="6" s="1"/>
  <c r="AB23" i="6" s="1"/>
  <c r="G23" i="6"/>
  <c r="I23" i="6" s="1"/>
  <c r="Y22" i="6"/>
  <c r="AA22" i="6" s="1"/>
  <c r="AB22" i="6" s="1"/>
  <c r="U22" i="6"/>
  <c r="S22" i="6"/>
  <c r="M22" i="6"/>
  <c r="O22" i="6" s="1"/>
  <c r="I22" i="6"/>
  <c r="G22" i="6"/>
  <c r="Y21" i="6"/>
  <c r="AA21" i="6" s="1"/>
  <c r="AB21" i="6" s="1"/>
  <c r="S21" i="6"/>
  <c r="U21" i="6" s="1"/>
  <c r="O21" i="6"/>
  <c r="M21" i="6"/>
  <c r="G21" i="6"/>
  <c r="I21" i="6" s="1"/>
  <c r="AA20" i="6"/>
  <c r="AB20" i="6" s="1"/>
  <c r="Y20" i="6"/>
  <c r="S20" i="6"/>
  <c r="U20" i="6" s="1"/>
  <c r="O20" i="6"/>
  <c r="M20" i="6"/>
  <c r="I20" i="6"/>
  <c r="AA19" i="6"/>
  <c r="AB19" i="6" s="1"/>
  <c r="Y19" i="6"/>
  <c r="S19" i="6"/>
  <c r="U19" i="6" s="1"/>
  <c r="O19" i="6"/>
  <c r="M19" i="6"/>
  <c r="G19" i="6"/>
  <c r="I19" i="6" s="1"/>
  <c r="Y18" i="6"/>
  <c r="AA18" i="6" s="1"/>
  <c r="AB18" i="6" s="1"/>
  <c r="S18" i="6"/>
  <c r="U18" i="6" s="1"/>
  <c r="M18" i="6"/>
  <c r="O18" i="6" s="1"/>
  <c r="G18" i="6"/>
  <c r="I18" i="6" s="1"/>
  <c r="Y17" i="6"/>
  <c r="AA17" i="6" s="1"/>
  <c r="AB17" i="6" s="1"/>
  <c r="U17" i="6"/>
  <c r="S17" i="6"/>
  <c r="M17" i="6"/>
  <c r="O17" i="6" s="1"/>
  <c r="I17" i="6"/>
  <c r="G17" i="6"/>
  <c r="Y16" i="6"/>
  <c r="AA16" i="6" s="1"/>
  <c r="S16" i="6"/>
  <c r="U16" i="6" s="1"/>
  <c r="M16" i="6"/>
  <c r="O16" i="6" s="1"/>
  <c r="G16" i="6"/>
  <c r="I16" i="6" s="1"/>
  <c r="AA15" i="6"/>
  <c r="Y15" i="6"/>
  <c r="S15" i="6"/>
  <c r="U15" i="6" s="1"/>
  <c r="O15" i="6"/>
  <c r="M15" i="6"/>
  <c r="G15" i="6"/>
  <c r="I15" i="6" s="1"/>
  <c r="O39" i="6" l="1"/>
  <c r="AB16" i="6"/>
  <c r="AA24" i="6"/>
  <c r="AB32" i="6"/>
  <c r="O24" i="6"/>
  <c r="O40" i="6" s="1"/>
  <c r="O41" i="6" s="1"/>
  <c r="AB15" i="6"/>
  <c r="AA39" i="6"/>
  <c r="U24" i="6"/>
  <c r="Y24" i="6"/>
  <c r="Y40" i="6" s="1"/>
  <c r="W40" i="6"/>
  <c r="I24" i="6"/>
  <c r="U39" i="6"/>
  <c r="M24" i="6"/>
  <c r="M40" i="6" s="1"/>
  <c r="K40" i="6"/>
  <c r="AB33" i="6"/>
  <c r="I39" i="6"/>
  <c r="AB37" i="6"/>
  <c r="U40" i="6" l="1"/>
  <c r="U41" i="6" s="1"/>
  <c r="I40" i="6"/>
  <c r="I41" i="6" s="1"/>
  <c r="AB39" i="6"/>
  <c r="AA40" i="6"/>
  <c r="AB24" i="6"/>
  <c r="AA41" i="6" l="1"/>
  <c r="AB41" i="6" s="1"/>
  <c r="AB40" i="6"/>
  <c r="Y54" i="4" l="1"/>
  <c r="S54" i="4"/>
  <c r="M54" i="4"/>
  <c r="G54" i="4"/>
  <c r="Y53" i="4"/>
  <c r="S53" i="4"/>
  <c r="M53" i="4"/>
  <c r="G53" i="4"/>
  <c r="Y52" i="4"/>
  <c r="S52" i="4"/>
  <c r="M52" i="4"/>
  <c r="G52" i="4"/>
  <c r="Y51" i="4"/>
  <c r="S51" i="4"/>
  <c r="M51" i="4"/>
  <c r="G51" i="4"/>
  <c r="G50" i="4" s="1"/>
  <c r="X50" i="4"/>
  <c r="W50" i="4"/>
  <c r="V50" i="4"/>
  <c r="Y50" i="4" s="1"/>
  <c r="R50" i="4"/>
  <c r="Q50" i="4"/>
  <c r="P50" i="4"/>
  <c r="S50" i="4" s="1"/>
  <c r="L50" i="4"/>
  <c r="K50" i="4"/>
  <c r="J50" i="4"/>
  <c r="M50" i="4" s="1"/>
  <c r="F50" i="4"/>
  <c r="E50" i="4"/>
  <c r="D50" i="4"/>
  <c r="Z40" i="4"/>
  <c r="V40" i="4"/>
  <c r="R40" i="4"/>
  <c r="N40" i="4"/>
  <c r="J40" i="4"/>
  <c r="F40" i="4"/>
  <c r="Z39" i="4"/>
  <c r="X39" i="4"/>
  <c r="W39" i="4"/>
  <c r="Y39" i="4" s="1"/>
  <c r="V39" i="4"/>
  <c r="T39" i="4"/>
  <c r="S39" i="4"/>
  <c r="R39" i="4"/>
  <c r="Q39" i="4"/>
  <c r="P39" i="4"/>
  <c r="N39" i="4"/>
  <c r="L39" i="4"/>
  <c r="K39" i="4"/>
  <c r="M39" i="4" s="1"/>
  <c r="J39" i="4"/>
  <c r="H39" i="4"/>
  <c r="G39" i="4"/>
  <c r="F39" i="4"/>
  <c r="E39" i="4"/>
  <c r="D39" i="4"/>
  <c r="Y38" i="4"/>
  <c r="AA38" i="4" s="1"/>
  <c r="S38" i="4"/>
  <c r="U38" i="4" s="1"/>
  <c r="M38" i="4"/>
  <c r="O38" i="4" s="1"/>
  <c r="G38" i="4"/>
  <c r="I38" i="4" s="1"/>
  <c r="Y37" i="4"/>
  <c r="AA37" i="4" s="1"/>
  <c r="U37" i="4"/>
  <c r="S37" i="4"/>
  <c r="M37" i="4"/>
  <c r="O37" i="4" s="1"/>
  <c r="I37" i="4"/>
  <c r="G37" i="4"/>
  <c r="Y36" i="4"/>
  <c r="AA36" i="4" s="1"/>
  <c r="AB36" i="4" s="1"/>
  <c r="S36" i="4"/>
  <c r="U36" i="4" s="1"/>
  <c r="M36" i="4"/>
  <c r="O36" i="4" s="1"/>
  <c r="G36" i="4"/>
  <c r="I36" i="4" s="1"/>
  <c r="AA35" i="4"/>
  <c r="AB35" i="4" s="1"/>
  <c r="Y35" i="4"/>
  <c r="S35" i="4"/>
  <c r="U35" i="4" s="1"/>
  <c r="O35" i="4"/>
  <c r="M35" i="4"/>
  <c r="G35" i="4"/>
  <c r="I35" i="4" s="1"/>
  <c r="Y34" i="4"/>
  <c r="AA34" i="4" s="1"/>
  <c r="S34" i="4"/>
  <c r="U34" i="4" s="1"/>
  <c r="M34" i="4"/>
  <c r="O34" i="4" s="1"/>
  <c r="G34" i="4"/>
  <c r="I34" i="4" s="1"/>
  <c r="Y33" i="4"/>
  <c r="AA33" i="4" s="1"/>
  <c r="U33" i="4"/>
  <c r="S33" i="4"/>
  <c r="M33" i="4"/>
  <c r="O33" i="4" s="1"/>
  <c r="I33" i="4"/>
  <c r="G33" i="4"/>
  <c r="Y32" i="4"/>
  <c r="AA32" i="4" s="1"/>
  <c r="AB32" i="4" s="1"/>
  <c r="S32" i="4"/>
  <c r="U32" i="4" s="1"/>
  <c r="M32" i="4"/>
  <c r="O32" i="4" s="1"/>
  <c r="G32" i="4"/>
  <c r="I32" i="4" s="1"/>
  <c r="AA31" i="4"/>
  <c r="AB31" i="4" s="1"/>
  <c r="Y31" i="4"/>
  <c r="S31" i="4"/>
  <c r="U31" i="4" s="1"/>
  <c r="O31" i="4"/>
  <c r="M31" i="4"/>
  <c r="G31" i="4"/>
  <c r="I31" i="4" s="1"/>
  <c r="Y30" i="4"/>
  <c r="AA30" i="4" s="1"/>
  <c r="S30" i="4"/>
  <c r="U30" i="4" s="1"/>
  <c r="M30" i="4"/>
  <c r="O30" i="4" s="1"/>
  <c r="G30" i="4"/>
  <c r="I30" i="4" s="1"/>
  <c r="Y29" i="4"/>
  <c r="AA29" i="4" s="1"/>
  <c r="U29" i="4"/>
  <c r="S29" i="4"/>
  <c r="M29" i="4"/>
  <c r="O29" i="4" s="1"/>
  <c r="I29" i="4"/>
  <c r="G29" i="4"/>
  <c r="Y28" i="4"/>
  <c r="AA28" i="4" s="1"/>
  <c r="AB28" i="4" s="1"/>
  <c r="S28" i="4"/>
  <c r="U28" i="4" s="1"/>
  <c r="M28" i="4"/>
  <c r="O28" i="4" s="1"/>
  <c r="G28" i="4"/>
  <c r="I28" i="4" s="1"/>
  <c r="Z24" i="4"/>
  <c r="X24" i="4"/>
  <c r="X40" i="4" s="1"/>
  <c r="W24" i="4"/>
  <c r="W40" i="4" s="1"/>
  <c r="V24" i="4"/>
  <c r="T24" i="4"/>
  <c r="T40" i="4" s="1"/>
  <c r="S24" i="4"/>
  <c r="S40" i="4" s="1"/>
  <c r="R24" i="4"/>
  <c r="Q24" i="4"/>
  <c r="Q40" i="4" s="1"/>
  <c r="P24" i="4"/>
  <c r="P40" i="4" s="1"/>
  <c r="N24" i="4"/>
  <c r="L24" i="4"/>
  <c r="L40" i="4" s="1"/>
  <c r="K24" i="4"/>
  <c r="K40" i="4" s="1"/>
  <c r="J24" i="4"/>
  <c r="H24" i="4"/>
  <c r="H40" i="4" s="1"/>
  <c r="G24" i="4"/>
  <c r="G40" i="4" s="1"/>
  <c r="F24" i="4"/>
  <c r="E24" i="4"/>
  <c r="E40" i="4" s="1"/>
  <c r="D24" i="4"/>
  <c r="D40" i="4" s="1"/>
  <c r="Y23" i="4"/>
  <c r="AA23" i="4" s="1"/>
  <c r="S23" i="4"/>
  <c r="U23" i="4" s="1"/>
  <c r="M23" i="4"/>
  <c r="O23" i="4" s="1"/>
  <c r="G23" i="4"/>
  <c r="I23" i="4" s="1"/>
  <c r="Y22" i="4"/>
  <c r="AA22" i="4" s="1"/>
  <c r="U22" i="4"/>
  <c r="S22" i="4"/>
  <c r="M22" i="4"/>
  <c r="O22" i="4" s="1"/>
  <c r="I22" i="4"/>
  <c r="G22" i="4"/>
  <c r="Y21" i="4"/>
  <c r="AA21" i="4" s="1"/>
  <c r="AB21" i="4" s="1"/>
  <c r="S21" i="4"/>
  <c r="U21" i="4" s="1"/>
  <c r="M21" i="4"/>
  <c r="O21" i="4" s="1"/>
  <c r="G21" i="4"/>
  <c r="I21" i="4" s="1"/>
  <c r="AA20" i="4"/>
  <c r="AB20" i="4" s="1"/>
  <c r="Y20" i="4"/>
  <c r="S20" i="4"/>
  <c r="U20" i="4" s="1"/>
  <c r="O20" i="4"/>
  <c r="M20" i="4"/>
  <c r="Y19" i="4"/>
  <c r="AA19" i="4" s="1"/>
  <c r="AB19" i="4" s="1"/>
  <c r="S19" i="4"/>
  <c r="U19" i="4" s="1"/>
  <c r="M19" i="4"/>
  <c r="O19" i="4" s="1"/>
  <c r="G19" i="4"/>
  <c r="I19" i="4" s="1"/>
  <c r="AA18" i="4"/>
  <c r="AB18" i="4" s="1"/>
  <c r="Y18" i="4"/>
  <c r="S18" i="4"/>
  <c r="U18" i="4" s="1"/>
  <c r="O18" i="4"/>
  <c r="M18" i="4"/>
  <c r="G18" i="4"/>
  <c r="I18" i="4" s="1"/>
  <c r="Y17" i="4"/>
  <c r="AA17" i="4" s="1"/>
  <c r="S17" i="4"/>
  <c r="U17" i="4" s="1"/>
  <c r="M17" i="4"/>
  <c r="O17" i="4" s="1"/>
  <c r="G17" i="4"/>
  <c r="I17" i="4" s="1"/>
  <c r="Y16" i="4"/>
  <c r="AA16" i="4" s="1"/>
  <c r="U16" i="4"/>
  <c r="S16" i="4"/>
  <c r="M16" i="4"/>
  <c r="O16" i="4" s="1"/>
  <c r="I16" i="4"/>
  <c r="G16" i="4"/>
  <c r="Y15" i="4"/>
  <c r="AA15" i="4" s="1"/>
  <c r="S15" i="4"/>
  <c r="U15" i="4" s="1"/>
  <c r="M15" i="4"/>
  <c r="O15" i="4" s="1"/>
  <c r="G15" i="4"/>
  <c r="I15" i="4" s="1"/>
  <c r="I24" i="4" s="1"/>
  <c r="AB15" i="4" l="1"/>
  <c r="AA24" i="4"/>
  <c r="O24" i="4"/>
  <c r="O40" i="4" s="1"/>
  <c r="O41" i="4" s="1"/>
  <c r="AB16" i="4"/>
  <c r="AB17" i="4"/>
  <c r="O39" i="4"/>
  <c r="I39" i="4"/>
  <c r="I40" i="4" s="1"/>
  <c r="I41" i="4" s="1"/>
  <c r="U24" i="4"/>
  <c r="AB22" i="4"/>
  <c r="AB23" i="4"/>
  <c r="AB29" i="4"/>
  <c r="AB30" i="4"/>
  <c r="AB33" i="4"/>
  <c r="AB34" i="4"/>
  <c r="U39" i="4"/>
  <c r="AB37" i="4"/>
  <c r="AB38" i="4"/>
  <c r="M24" i="4"/>
  <c r="M40" i="4" s="1"/>
  <c r="Y24" i="4"/>
  <c r="Y40" i="4" s="1"/>
  <c r="AA39" i="4"/>
  <c r="AB24" i="4" l="1"/>
  <c r="AA40" i="4"/>
  <c r="AB39" i="4"/>
  <c r="U40" i="4"/>
  <c r="U41" i="4" s="1"/>
  <c r="AA41" i="4" l="1"/>
  <c r="AB41" i="4" s="1"/>
  <c r="AB40" i="4"/>
  <c r="Y54" i="3" l="1"/>
  <c r="S54" i="3"/>
  <c r="M54" i="3"/>
  <c r="G54" i="3"/>
  <c r="Y53" i="3"/>
  <c r="S53" i="3"/>
  <c r="M53" i="3"/>
  <c r="G53" i="3"/>
  <c r="Y52" i="3"/>
  <c r="S52" i="3"/>
  <c r="M52" i="3"/>
  <c r="G52" i="3"/>
  <c r="Y51" i="3"/>
  <c r="S51" i="3"/>
  <c r="M51" i="3"/>
  <c r="M50" i="3" s="1"/>
  <c r="G51" i="3"/>
  <c r="X50" i="3"/>
  <c r="W50" i="3"/>
  <c r="Y50" i="3" s="1"/>
  <c r="V50" i="3"/>
  <c r="S50" i="3"/>
  <c r="R50" i="3"/>
  <c r="Q50" i="3"/>
  <c r="P50" i="3"/>
  <c r="L50" i="3"/>
  <c r="K50" i="3"/>
  <c r="J50" i="3"/>
  <c r="G50" i="3"/>
  <c r="F50" i="3"/>
  <c r="E50" i="3"/>
  <c r="D50" i="3"/>
  <c r="W40" i="3"/>
  <c r="Q40" i="3"/>
  <c r="K40" i="3"/>
  <c r="E40" i="3"/>
  <c r="Z39" i="3"/>
  <c r="X39" i="3"/>
  <c r="W39" i="3"/>
  <c r="V39" i="3"/>
  <c r="Y39" i="3" s="1"/>
  <c r="T39" i="3"/>
  <c r="R39" i="3"/>
  <c r="Q39" i="3"/>
  <c r="P39" i="3"/>
  <c r="S39" i="3" s="1"/>
  <c r="N39" i="3"/>
  <c r="L39" i="3"/>
  <c r="K39" i="3"/>
  <c r="J39" i="3"/>
  <c r="M39" i="3" s="1"/>
  <c r="H39" i="3"/>
  <c r="F39" i="3"/>
  <c r="E39" i="3"/>
  <c r="D39" i="3"/>
  <c r="G39" i="3" s="1"/>
  <c r="AA38" i="3"/>
  <c r="AB38" i="3" s="1"/>
  <c r="Y38" i="3"/>
  <c r="U38" i="3"/>
  <c r="S38" i="3"/>
  <c r="O38" i="3"/>
  <c r="M38" i="3"/>
  <c r="I38" i="3"/>
  <c r="G38" i="3"/>
  <c r="Y37" i="3"/>
  <c r="AA37" i="3" s="1"/>
  <c r="AB37" i="3" s="1"/>
  <c r="S37" i="3"/>
  <c r="U37" i="3" s="1"/>
  <c r="M37" i="3"/>
  <c r="O37" i="3" s="1"/>
  <c r="G37" i="3"/>
  <c r="I37" i="3" s="1"/>
  <c r="AA36" i="3"/>
  <c r="AB36" i="3" s="1"/>
  <c r="Y36" i="3"/>
  <c r="U36" i="3"/>
  <c r="S36" i="3"/>
  <c r="O36" i="3"/>
  <c r="M36" i="3"/>
  <c r="I36" i="3"/>
  <c r="G36" i="3"/>
  <c r="Y35" i="3"/>
  <c r="AA35" i="3" s="1"/>
  <c r="S35" i="3"/>
  <c r="U35" i="3" s="1"/>
  <c r="M35" i="3"/>
  <c r="O35" i="3" s="1"/>
  <c r="G35" i="3"/>
  <c r="I35" i="3" s="1"/>
  <c r="AA34" i="3"/>
  <c r="AB34" i="3" s="1"/>
  <c r="Y34" i="3"/>
  <c r="U34" i="3"/>
  <c r="S34" i="3"/>
  <c r="O34" i="3"/>
  <c r="M34" i="3"/>
  <c r="I34" i="3"/>
  <c r="G34" i="3"/>
  <c r="Y33" i="3"/>
  <c r="AA33" i="3" s="1"/>
  <c r="AB33" i="3" s="1"/>
  <c r="S33" i="3"/>
  <c r="U33" i="3" s="1"/>
  <c r="M33" i="3"/>
  <c r="O33" i="3" s="1"/>
  <c r="G33" i="3"/>
  <c r="I33" i="3" s="1"/>
  <c r="AA32" i="3"/>
  <c r="AB32" i="3" s="1"/>
  <c r="Y32" i="3"/>
  <c r="U32" i="3"/>
  <c r="S32" i="3"/>
  <c r="O32" i="3"/>
  <c r="M32" i="3"/>
  <c r="I32" i="3"/>
  <c r="G32" i="3"/>
  <c r="Y31" i="3"/>
  <c r="AA31" i="3" s="1"/>
  <c r="AB31" i="3" s="1"/>
  <c r="S31" i="3"/>
  <c r="U31" i="3" s="1"/>
  <c r="M31" i="3"/>
  <c r="O31" i="3" s="1"/>
  <c r="G31" i="3"/>
  <c r="I31" i="3" s="1"/>
  <c r="AA30" i="3"/>
  <c r="AB30" i="3" s="1"/>
  <c r="Y30" i="3"/>
  <c r="U30" i="3"/>
  <c r="S30" i="3"/>
  <c r="O30" i="3"/>
  <c r="M30" i="3"/>
  <c r="I30" i="3"/>
  <c r="G30" i="3"/>
  <c r="Y29" i="3"/>
  <c r="AA29" i="3" s="1"/>
  <c r="AB29" i="3" s="1"/>
  <c r="S29" i="3"/>
  <c r="U29" i="3" s="1"/>
  <c r="M29" i="3"/>
  <c r="O29" i="3" s="1"/>
  <c r="G29" i="3"/>
  <c r="I29" i="3" s="1"/>
  <c r="AA28" i="3"/>
  <c r="AB28" i="3" s="1"/>
  <c r="Y28" i="3"/>
  <c r="U28" i="3"/>
  <c r="S28" i="3"/>
  <c r="O28" i="3"/>
  <c r="M28" i="3"/>
  <c r="I28" i="3"/>
  <c r="G28" i="3"/>
  <c r="Z24" i="3"/>
  <c r="Z40" i="3" s="1"/>
  <c r="X24" i="3"/>
  <c r="X40" i="3" s="1"/>
  <c r="W24" i="3"/>
  <c r="V24" i="3"/>
  <c r="Y24" i="3" s="1"/>
  <c r="Y40" i="3" s="1"/>
  <c r="T24" i="3"/>
  <c r="T40" i="3" s="1"/>
  <c r="R24" i="3"/>
  <c r="R40" i="3" s="1"/>
  <c r="Q24" i="3"/>
  <c r="P24" i="3"/>
  <c r="P40" i="3" s="1"/>
  <c r="N24" i="3"/>
  <c r="N40" i="3" s="1"/>
  <c r="L24" i="3"/>
  <c r="L40" i="3" s="1"/>
  <c r="K24" i="3"/>
  <c r="J24" i="3"/>
  <c r="M24" i="3" s="1"/>
  <c r="M40" i="3" s="1"/>
  <c r="H24" i="3"/>
  <c r="H40" i="3" s="1"/>
  <c r="F24" i="3"/>
  <c r="F40" i="3" s="1"/>
  <c r="E24" i="3"/>
  <c r="D24" i="3"/>
  <c r="D40" i="3" s="1"/>
  <c r="AA23" i="3"/>
  <c r="AB23" i="3" s="1"/>
  <c r="Y23" i="3"/>
  <c r="U23" i="3"/>
  <c r="S23" i="3"/>
  <c r="O23" i="3"/>
  <c r="M23" i="3"/>
  <c r="I23" i="3"/>
  <c r="G23" i="3"/>
  <c r="Y22" i="3"/>
  <c r="AA22" i="3" s="1"/>
  <c r="AB22" i="3" s="1"/>
  <c r="S22" i="3"/>
  <c r="U22" i="3" s="1"/>
  <c r="M22" i="3"/>
  <c r="O22" i="3" s="1"/>
  <c r="G22" i="3"/>
  <c r="I22" i="3" s="1"/>
  <c r="AA21" i="3"/>
  <c r="AB21" i="3" s="1"/>
  <c r="Y21" i="3"/>
  <c r="U21" i="3"/>
  <c r="S21" i="3"/>
  <c r="O21" i="3"/>
  <c r="M21" i="3"/>
  <c r="I21" i="3"/>
  <c r="G21" i="3"/>
  <c r="Y20" i="3"/>
  <c r="AA20" i="3" s="1"/>
  <c r="AB20" i="3" s="1"/>
  <c r="S20" i="3"/>
  <c r="U20" i="3" s="1"/>
  <c r="M20" i="3"/>
  <c r="O20" i="3" s="1"/>
  <c r="I20" i="3"/>
  <c r="Y19" i="3"/>
  <c r="AA19" i="3" s="1"/>
  <c r="AB19" i="3" s="1"/>
  <c r="S19" i="3"/>
  <c r="U19" i="3" s="1"/>
  <c r="M19" i="3"/>
  <c r="O19" i="3" s="1"/>
  <c r="G19" i="3"/>
  <c r="I19" i="3" s="1"/>
  <c r="AA18" i="3"/>
  <c r="AB18" i="3" s="1"/>
  <c r="Y18" i="3"/>
  <c r="U18" i="3"/>
  <c r="S18" i="3"/>
  <c r="O18" i="3"/>
  <c r="M18" i="3"/>
  <c r="I18" i="3"/>
  <c r="G18" i="3"/>
  <c r="Y17" i="3"/>
  <c r="AA17" i="3" s="1"/>
  <c r="AB17" i="3" s="1"/>
  <c r="S17" i="3"/>
  <c r="U17" i="3" s="1"/>
  <c r="M17" i="3"/>
  <c r="O17" i="3" s="1"/>
  <c r="G17" i="3"/>
  <c r="I17" i="3" s="1"/>
  <c r="AA16" i="3"/>
  <c r="AB16" i="3" s="1"/>
  <c r="Y16" i="3"/>
  <c r="U16" i="3"/>
  <c r="S16" i="3"/>
  <c r="O16" i="3"/>
  <c r="M16" i="3"/>
  <c r="I16" i="3"/>
  <c r="G16" i="3"/>
  <c r="Y15" i="3"/>
  <c r="AA15" i="3" s="1"/>
  <c r="S15" i="3"/>
  <c r="U15" i="3" s="1"/>
  <c r="U24" i="3" s="1"/>
  <c r="M15" i="3"/>
  <c r="O15" i="3" s="1"/>
  <c r="O24" i="3" s="1"/>
  <c r="I15" i="3"/>
  <c r="I24" i="3" s="1"/>
  <c r="AB35" i="3" l="1"/>
  <c r="AA39" i="3"/>
  <c r="U39" i="3"/>
  <c r="U40" i="3" s="1"/>
  <c r="U41" i="3" s="1"/>
  <c r="AB15" i="3"/>
  <c r="AA24" i="3"/>
  <c r="I39" i="3"/>
  <c r="I40" i="3" s="1"/>
  <c r="I41" i="3" s="1"/>
  <c r="O39" i="3"/>
  <c r="O40" i="3" s="1"/>
  <c r="O41" i="3" s="1"/>
  <c r="G24" i="3"/>
  <c r="G40" i="3" s="1"/>
  <c r="S24" i="3"/>
  <c r="S40" i="3" s="1"/>
  <c r="J40" i="3"/>
  <c r="V40" i="3"/>
  <c r="AB24" i="3" l="1"/>
  <c r="AA40" i="3"/>
  <c r="AB39" i="3"/>
  <c r="AA41" i="3" l="1"/>
  <c r="AB41" i="3" s="1"/>
  <c r="AB40" i="3"/>
  <c r="G15" i="2" l="1"/>
  <c r="I15" i="2"/>
  <c r="M15" i="2"/>
  <c r="O15" i="2"/>
  <c r="O24" i="2" s="1"/>
  <c r="S15" i="2"/>
  <c r="U15" i="2"/>
  <c r="Y15" i="2"/>
  <c r="AA15" i="2"/>
  <c r="AB15" i="2" s="1"/>
  <c r="G16" i="2"/>
  <c r="I16" i="2"/>
  <c r="M16" i="2"/>
  <c r="O16" i="2" s="1"/>
  <c r="S16" i="2"/>
  <c r="U16" i="2"/>
  <c r="Y16" i="2"/>
  <c r="AA16" i="2" s="1"/>
  <c r="G17" i="2"/>
  <c r="I17" i="2"/>
  <c r="M17" i="2"/>
  <c r="O17" i="2"/>
  <c r="S17" i="2"/>
  <c r="U17" i="2"/>
  <c r="U24" i="2" s="1"/>
  <c r="Y17" i="2"/>
  <c r="AA17" i="2"/>
  <c r="AB17" i="2"/>
  <c r="G18" i="2"/>
  <c r="I18" i="2" s="1"/>
  <c r="M18" i="2"/>
  <c r="O18" i="2"/>
  <c r="S18" i="2"/>
  <c r="U18" i="2" s="1"/>
  <c r="Y18" i="2"/>
  <c r="AA18" i="2"/>
  <c r="AB18" i="2"/>
  <c r="G19" i="2"/>
  <c r="I19" i="2"/>
  <c r="M19" i="2"/>
  <c r="O19" i="2"/>
  <c r="S19" i="2"/>
  <c r="U19" i="2"/>
  <c r="Y19" i="2"/>
  <c r="AA19" i="2"/>
  <c r="AB19" i="2" s="1"/>
  <c r="G20" i="2"/>
  <c r="I20" i="2"/>
  <c r="M20" i="2"/>
  <c r="O20" i="2" s="1"/>
  <c r="S20" i="2"/>
  <c r="U20" i="2"/>
  <c r="Y20" i="2"/>
  <c r="AA20" i="2" s="1"/>
  <c r="AB20" i="2" s="1"/>
  <c r="G21" i="2"/>
  <c r="I21" i="2"/>
  <c r="M21" i="2"/>
  <c r="O21" i="2"/>
  <c r="S21" i="2"/>
  <c r="U21" i="2"/>
  <c r="Y21" i="2"/>
  <c r="AA21" i="2"/>
  <c r="AB21" i="2"/>
  <c r="G22" i="2"/>
  <c r="I22" i="2" s="1"/>
  <c r="M22" i="2"/>
  <c r="O22" i="2"/>
  <c r="S22" i="2"/>
  <c r="U22" i="2" s="1"/>
  <c r="Y22" i="2"/>
  <c r="AA22" i="2"/>
  <c r="AB22" i="2"/>
  <c r="G23" i="2"/>
  <c r="I23" i="2"/>
  <c r="M23" i="2"/>
  <c r="O23" i="2"/>
  <c r="S23" i="2"/>
  <c r="U23" i="2"/>
  <c r="Y23" i="2"/>
  <c r="AA23" i="2"/>
  <c r="AB23" i="2" s="1"/>
  <c r="D24" i="2"/>
  <c r="G24" i="2" s="1"/>
  <c r="E24" i="2"/>
  <c r="F24" i="2"/>
  <c r="F40" i="2" s="1"/>
  <c r="H24" i="2"/>
  <c r="J24" i="2"/>
  <c r="J40" i="2" s="1"/>
  <c r="K24" i="2"/>
  <c r="L24" i="2"/>
  <c r="N24" i="2"/>
  <c r="N40" i="2" s="1"/>
  <c r="P24" i="2"/>
  <c r="S24" i="2" s="1"/>
  <c r="Q24" i="2"/>
  <c r="R24" i="2"/>
  <c r="R40" i="2" s="1"/>
  <c r="T24" i="2"/>
  <c r="V24" i="2"/>
  <c r="V40" i="2" s="1"/>
  <c r="W24" i="2"/>
  <c r="X24" i="2"/>
  <c r="Z24" i="2"/>
  <c r="Z40" i="2" s="1"/>
  <c r="G28" i="2"/>
  <c r="I28" i="2"/>
  <c r="M28" i="2"/>
  <c r="O28" i="2"/>
  <c r="S28" i="2"/>
  <c r="U28" i="2"/>
  <c r="Y28" i="2"/>
  <c r="AA28" i="2"/>
  <c r="AB28" i="2"/>
  <c r="G29" i="2"/>
  <c r="I29" i="2" s="1"/>
  <c r="M29" i="2"/>
  <c r="O29" i="2"/>
  <c r="S29" i="2"/>
  <c r="U29" i="2" s="1"/>
  <c r="Y29" i="2"/>
  <c r="AA29" i="2"/>
  <c r="AB29" i="2"/>
  <c r="G30" i="2"/>
  <c r="I30" i="2"/>
  <c r="M30" i="2"/>
  <c r="O30" i="2"/>
  <c r="S30" i="2"/>
  <c r="U30" i="2"/>
  <c r="Y30" i="2"/>
  <c r="AA30" i="2"/>
  <c r="AB30" i="2" s="1"/>
  <c r="G31" i="2"/>
  <c r="I31" i="2"/>
  <c r="M31" i="2"/>
  <c r="O31" i="2" s="1"/>
  <c r="S31" i="2"/>
  <c r="U31" i="2"/>
  <c r="Y31" i="2"/>
  <c r="AA31" i="2" s="1"/>
  <c r="G32" i="2"/>
  <c r="I32" i="2"/>
  <c r="M32" i="2"/>
  <c r="O32" i="2"/>
  <c r="S32" i="2"/>
  <c r="U32" i="2"/>
  <c r="Y32" i="2"/>
  <c r="AA32" i="2"/>
  <c r="AB32" i="2"/>
  <c r="G33" i="2"/>
  <c r="I33" i="2" s="1"/>
  <c r="M33" i="2"/>
  <c r="O33" i="2"/>
  <c r="S33" i="2"/>
  <c r="U33" i="2" s="1"/>
  <c r="Y33" i="2"/>
  <c r="AA33" i="2"/>
  <c r="AB33" i="2"/>
  <c r="G34" i="2"/>
  <c r="I34" i="2"/>
  <c r="M34" i="2"/>
  <c r="O34" i="2"/>
  <c r="S34" i="2"/>
  <c r="U34" i="2"/>
  <c r="Y34" i="2"/>
  <c r="AA34" i="2"/>
  <c r="AB34" i="2" s="1"/>
  <c r="G35" i="2"/>
  <c r="I35" i="2"/>
  <c r="M35" i="2"/>
  <c r="O35" i="2" s="1"/>
  <c r="S35" i="2"/>
  <c r="U35" i="2"/>
  <c r="Y35" i="2"/>
  <c r="AA35" i="2" s="1"/>
  <c r="G36" i="2"/>
  <c r="I36" i="2"/>
  <c r="M36" i="2"/>
  <c r="O36" i="2"/>
  <c r="S36" i="2"/>
  <c r="U36" i="2"/>
  <c r="Y36" i="2"/>
  <c r="AA36" i="2"/>
  <c r="AB36" i="2"/>
  <c r="G37" i="2"/>
  <c r="I37" i="2" s="1"/>
  <c r="M37" i="2"/>
  <c r="O37" i="2"/>
  <c r="S37" i="2"/>
  <c r="U37" i="2" s="1"/>
  <c r="Y37" i="2"/>
  <c r="AA37" i="2"/>
  <c r="AB37" i="2"/>
  <c r="G38" i="2"/>
  <c r="I38" i="2"/>
  <c r="M38" i="2"/>
  <c r="O38" i="2"/>
  <c r="S38" i="2"/>
  <c r="U38" i="2"/>
  <c r="Y38" i="2"/>
  <c r="AA38" i="2"/>
  <c r="AB38" i="2" s="1"/>
  <c r="D39" i="2"/>
  <c r="G39" i="2" s="1"/>
  <c r="E39" i="2"/>
  <c r="F39" i="2"/>
  <c r="H39" i="2"/>
  <c r="J39" i="2"/>
  <c r="M39" i="2" s="1"/>
  <c r="K39" i="2"/>
  <c r="L39" i="2"/>
  <c r="N39" i="2"/>
  <c r="P39" i="2"/>
  <c r="S39" i="2" s="1"/>
  <c r="Q39" i="2"/>
  <c r="R39" i="2"/>
  <c r="T39" i="2"/>
  <c r="V39" i="2"/>
  <c r="Y39" i="2" s="1"/>
  <c r="W39" i="2"/>
  <c r="X39" i="2"/>
  <c r="Z39" i="2"/>
  <c r="D40" i="2"/>
  <c r="E40" i="2"/>
  <c r="H40" i="2"/>
  <c r="K40" i="2"/>
  <c r="L40" i="2"/>
  <c r="P40" i="2"/>
  <c r="Q40" i="2"/>
  <c r="T40" i="2"/>
  <c r="W40" i="2"/>
  <c r="X40" i="2"/>
  <c r="G50" i="2"/>
  <c r="M50" i="2"/>
  <c r="S50" i="2"/>
  <c r="Y50" i="2"/>
  <c r="G51" i="2"/>
  <c r="M51" i="2"/>
  <c r="S51" i="2"/>
  <c r="Y51" i="2"/>
  <c r="G52" i="2"/>
  <c r="M52" i="2"/>
  <c r="S52" i="2"/>
  <c r="Y52" i="2"/>
  <c r="G53" i="2"/>
  <c r="M53" i="2"/>
  <c r="S53" i="2"/>
  <c r="Y53" i="2"/>
  <c r="G54" i="2"/>
  <c r="M54" i="2"/>
  <c r="S54" i="2"/>
  <c r="Y54" i="2"/>
  <c r="I24" i="2" l="1"/>
  <c r="U39" i="2"/>
  <c r="U40" i="2" s="1"/>
  <c r="U41" i="2" s="1"/>
  <c r="I39" i="2"/>
  <c r="AB31" i="2"/>
  <c r="AB16" i="2"/>
  <c r="AA39" i="2"/>
  <c r="AB39" i="2" s="1"/>
  <c r="AB35" i="2"/>
  <c r="O39" i="2"/>
  <c r="O40" i="2" s="1"/>
  <c r="O41" i="2" s="1"/>
  <c r="S40" i="2"/>
  <c r="G40" i="2"/>
  <c r="Y24" i="2"/>
  <c r="Y40" i="2" s="1"/>
  <c r="M24" i="2"/>
  <c r="M40" i="2" s="1"/>
  <c r="AA24" i="2"/>
  <c r="AB24" i="2" l="1"/>
  <c r="AA40" i="2"/>
  <c r="I40" i="2"/>
  <c r="I41" i="2" s="1"/>
  <c r="AA41" i="2" l="1"/>
  <c r="AB41" i="2" s="1"/>
  <c r="AB40" i="2"/>
  <c r="Y54" i="1" l="1"/>
  <c r="G54" i="1"/>
  <c r="J54" i="1" s="1"/>
  <c r="M54" i="1" s="1"/>
  <c r="Y53" i="1"/>
  <c r="G53" i="1"/>
  <c r="P53" i="1" s="1"/>
  <c r="S53" i="1" s="1"/>
  <c r="X52" i="1"/>
  <c r="Y52" i="1" s="1"/>
  <c r="P52" i="1"/>
  <c r="S52" i="1" s="1"/>
  <c r="J52" i="1"/>
  <c r="M52" i="1" s="1"/>
  <c r="G52" i="1"/>
  <c r="Y51" i="1"/>
  <c r="J51" i="1"/>
  <c r="M51" i="1" s="1"/>
  <c r="G51" i="1"/>
  <c r="P51" i="1" s="1"/>
  <c r="S51" i="1" s="1"/>
  <c r="Y50" i="1"/>
  <c r="S50" i="1"/>
  <c r="M50" i="1"/>
  <c r="G50" i="1"/>
  <c r="K40" i="1"/>
  <c r="Z39" i="1"/>
  <c r="X39" i="1"/>
  <c r="V39" i="1"/>
  <c r="T39" i="1"/>
  <c r="R39" i="1"/>
  <c r="Q39" i="1"/>
  <c r="P39" i="1"/>
  <c r="S39" i="1" s="1"/>
  <c r="N39" i="1"/>
  <c r="L39" i="1"/>
  <c r="M39" i="1" s="1"/>
  <c r="K39" i="1"/>
  <c r="J39" i="1"/>
  <c r="H39" i="1"/>
  <c r="F39" i="1"/>
  <c r="Y38" i="1"/>
  <c r="AA38" i="1" s="1"/>
  <c r="AB38" i="1" s="1"/>
  <c r="U38" i="1"/>
  <c r="S38" i="1"/>
  <c r="M38" i="1"/>
  <c r="O38" i="1" s="1"/>
  <c r="I38" i="1"/>
  <c r="G38" i="1"/>
  <c r="Y37" i="1"/>
  <c r="AA37" i="1" s="1"/>
  <c r="AB37" i="1" s="1"/>
  <c r="U37" i="1"/>
  <c r="S37" i="1"/>
  <c r="M37" i="1"/>
  <c r="O37" i="1" s="1"/>
  <c r="I37" i="1"/>
  <c r="G37" i="1"/>
  <c r="AA36" i="1"/>
  <c r="AB36" i="1" s="1"/>
  <c r="Y36" i="1"/>
  <c r="S36" i="1"/>
  <c r="U36" i="1" s="1"/>
  <c r="O36" i="1"/>
  <c r="M36" i="1"/>
  <c r="G36" i="1"/>
  <c r="I36" i="1" s="1"/>
  <c r="W35" i="1"/>
  <c r="W39" i="1" s="1"/>
  <c r="U35" i="1"/>
  <c r="S35" i="1"/>
  <c r="M35" i="1"/>
  <c r="O35" i="1" s="1"/>
  <c r="I35" i="1"/>
  <c r="I39" i="1" s="1"/>
  <c r="G35" i="1"/>
  <c r="Y34" i="1"/>
  <c r="AA34" i="1" s="1"/>
  <c r="AB34" i="1" s="1"/>
  <c r="U34" i="1"/>
  <c r="S34" i="1"/>
  <c r="M34" i="1"/>
  <c r="O34" i="1" s="1"/>
  <c r="G34" i="1"/>
  <c r="I34" i="1" s="1"/>
  <c r="W33" i="1"/>
  <c r="Y33" i="1" s="1"/>
  <c r="AA33" i="1" s="1"/>
  <c r="AB33" i="1" s="1"/>
  <c r="S33" i="1"/>
  <c r="U33" i="1" s="1"/>
  <c r="M33" i="1"/>
  <c r="O33" i="1" s="1"/>
  <c r="G33" i="1"/>
  <c r="I33" i="1" s="1"/>
  <c r="W32" i="1"/>
  <c r="Y32" i="1" s="1"/>
  <c r="AA32" i="1" s="1"/>
  <c r="AB32" i="1" s="1"/>
  <c r="S32" i="1"/>
  <c r="U32" i="1" s="1"/>
  <c r="M32" i="1"/>
  <c r="O32" i="1" s="1"/>
  <c r="E32" i="1"/>
  <c r="E39" i="1" s="1"/>
  <c r="D32" i="1"/>
  <c r="G32" i="1" s="1"/>
  <c r="I32" i="1" s="1"/>
  <c r="Y31" i="1"/>
  <c r="AA31" i="1" s="1"/>
  <c r="AB31" i="1" s="1"/>
  <c r="U31" i="1"/>
  <c r="S31" i="1"/>
  <c r="M31" i="1"/>
  <c r="O31" i="1" s="1"/>
  <c r="I31" i="1"/>
  <c r="G31" i="1"/>
  <c r="Y30" i="1"/>
  <c r="AA30" i="1" s="1"/>
  <c r="S30" i="1"/>
  <c r="U30" i="1" s="1"/>
  <c r="M30" i="1"/>
  <c r="O30" i="1" s="1"/>
  <c r="G30" i="1"/>
  <c r="I30" i="1" s="1"/>
  <c r="AA29" i="1"/>
  <c r="AB29" i="1" s="1"/>
  <c r="Y29" i="1"/>
  <c r="S29" i="1"/>
  <c r="U29" i="1" s="1"/>
  <c r="O29" i="1"/>
  <c r="M29" i="1"/>
  <c r="G29" i="1"/>
  <c r="I29" i="1" s="1"/>
  <c r="Y28" i="1"/>
  <c r="AA28" i="1" s="1"/>
  <c r="AB28" i="1" s="1"/>
  <c r="S28" i="1"/>
  <c r="U28" i="1" s="1"/>
  <c r="M28" i="1"/>
  <c r="O28" i="1" s="1"/>
  <c r="G28" i="1"/>
  <c r="I28" i="1" s="1"/>
  <c r="Z24" i="1"/>
  <c r="Z40" i="1" s="1"/>
  <c r="V24" i="1"/>
  <c r="V40" i="1" s="1"/>
  <c r="T24" i="1"/>
  <c r="T40" i="1" s="1"/>
  <c r="R24" i="1"/>
  <c r="R40" i="1" s="1"/>
  <c r="Q24" i="1"/>
  <c r="Q40" i="1" s="1"/>
  <c r="P24" i="1"/>
  <c r="P40" i="1" s="1"/>
  <c r="N24" i="1"/>
  <c r="N40" i="1" s="1"/>
  <c r="M24" i="1"/>
  <c r="M40" i="1" s="1"/>
  <c r="L24" i="1"/>
  <c r="L40" i="1" s="1"/>
  <c r="K24" i="1"/>
  <c r="J24" i="1"/>
  <c r="J40" i="1" s="1"/>
  <c r="H24" i="1"/>
  <c r="H40" i="1" s="1"/>
  <c r="F24" i="1"/>
  <c r="F40" i="1" s="1"/>
  <c r="E24" i="1"/>
  <c r="E40" i="1" s="1"/>
  <c r="Y23" i="1"/>
  <c r="AA23" i="1" s="1"/>
  <c r="S23" i="1"/>
  <c r="U23" i="1" s="1"/>
  <c r="M23" i="1"/>
  <c r="O23" i="1" s="1"/>
  <c r="G23" i="1"/>
  <c r="I23" i="1" s="1"/>
  <c r="AA22" i="1"/>
  <c r="AB22" i="1" s="1"/>
  <c r="Y22" i="1"/>
  <c r="S22" i="1"/>
  <c r="U22" i="1" s="1"/>
  <c r="O22" i="1"/>
  <c r="M22" i="1"/>
  <c r="G22" i="1"/>
  <c r="I22" i="1" s="1"/>
  <c r="Y21" i="1"/>
  <c r="AA21" i="1" s="1"/>
  <c r="AB21" i="1" s="1"/>
  <c r="S21" i="1"/>
  <c r="U21" i="1" s="1"/>
  <c r="M21" i="1"/>
  <c r="O21" i="1" s="1"/>
  <c r="G21" i="1"/>
  <c r="I21" i="1" s="1"/>
  <c r="Y20" i="1"/>
  <c r="AA20" i="1" s="1"/>
  <c r="AB20" i="1" s="1"/>
  <c r="U20" i="1"/>
  <c r="S20" i="1"/>
  <c r="M20" i="1"/>
  <c r="O20" i="1" s="1"/>
  <c r="I20" i="1"/>
  <c r="G20" i="1"/>
  <c r="Y19" i="1"/>
  <c r="AA19" i="1" s="1"/>
  <c r="S19" i="1"/>
  <c r="U19" i="1" s="1"/>
  <c r="M19" i="1"/>
  <c r="O19" i="1" s="1"/>
  <c r="G19" i="1"/>
  <c r="I19" i="1" s="1"/>
  <c r="W18" i="1"/>
  <c r="Y18" i="1" s="1"/>
  <c r="AA18" i="1" s="1"/>
  <c r="S18" i="1"/>
  <c r="U18" i="1" s="1"/>
  <c r="M18" i="1"/>
  <c r="O18" i="1" s="1"/>
  <c r="G18" i="1"/>
  <c r="I18" i="1" s="1"/>
  <c r="Y17" i="1"/>
  <c r="AA17" i="1" s="1"/>
  <c r="AB17" i="1" s="1"/>
  <c r="U17" i="1"/>
  <c r="S17" i="1"/>
  <c r="M17" i="1"/>
  <c r="O17" i="1" s="1"/>
  <c r="D17" i="1"/>
  <c r="D24" i="1" s="1"/>
  <c r="AA16" i="1"/>
  <c r="AB16" i="1" s="1"/>
  <c r="Y16" i="1"/>
  <c r="S16" i="1"/>
  <c r="U16" i="1" s="1"/>
  <c r="O16" i="1"/>
  <c r="M16" i="1"/>
  <c r="G16" i="1"/>
  <c r="I16" i="1" s="1"/>
  <c r="X15" i="1"/>
  <c r="X24" i="1" s="1"/>
  <c r="X40" i="1" s="1"/>
  <c r="U15" i="1"/>
  <c r="S15" i="1"/>
  <c r="M15" i="1"/>
  <c r="O15" i="1" s="1"/>
  <c r="O24" i="1" s="1"/>
  <c r="I15" i="1"/>
  <c r="G15" i="1"/>
  <c r="O39" i="1" l="1"/>
  <c r="Y39" i="1"/>
  <c r="G24" i="1"/>
  <c r="D40" i="1"/>
  <c r="AB18" i="1"/>
  <c r="AB19" i="1"/>
  <c r="AB23" i="1"/>
  <c r="AB30" i="1"/>
  <c r="O40" i="1"/>
  <c r="O41" i="1" s="1"/>
  <c r="U24" i="1"/>
  <c r="U39" i="1"/>
  <c r="D39" i="1"/>
  <c r="G39" i="1" s="1"/>
  <c r="J53" i="1"/>
  <c r="M53" i="1" s="1"/>
  <c r="P54" i="1"/>
  <c r="S54" i="1" s="1"/>
  <c r="Y15" i="1"/>
  <c r="AA15" i="1" s="1"/>
  <c r="S24" i="1"/>
  <c r="S40" i="1" s="1"/>
  <c r="W24" i="1"/>
  <c r="Y35" i="1"/>
  <c r="AA35" i="1" s="1"/>
  <c r="G17" i="1"/>
  <c r="I17" i="1" s="1"/>
  <c r="I24" i="1" s="1"/>
  <c r="I40" i="1" s="1"/>
  <c r="I41" i="1" s="1"/>
  <c r="AA39" i="1" l="1"/>
  <c r="AB39" i="1" s="1"/>
  <c r="AB35" i="1"/>
  <c r="G40" i="1"/>
  <c r="W40" i="1"/>
  <c r="Y24" i="1"/>
  <c r="Y40" i="1" s="1"/>
  <c r="U40" i="1"/>
  <c r="U41" i="1" s="1"/>
  <c r="AA24" i="1"/>
  <c r="AB15" i="1"/>
  <c r="AB24" i="1" l="1"/>
  <c r="AA40" i="1"/>
  <c r="AA41" i="1" l="1"/>
  <c r="AB41" i="1" s="1"/>
  <c r="AB40" i="1"/>
</calcChain>
</file>

<file path=xl/sharedStrings.xml><?xml version="1.0" encoding="utf-8"?>
<sst xmlns="http://schemas.openxmlformats.org/spreadsheetml/2006/main" count="2677" uniqueCount="208">
  <si>
    <t>Návrh rozpočtu 2020</t>
  </si>
  <si>
    <t>Název organizace:</t>
  </si>
  <si>
    <t>Základní škola Chomutov, Zahradní 5265</t>
  </si>
  <si>
    <t>IČO:</t>
  </si>
  <si>
    <t>Sídlo:</t>
  </si>
  <si>
    <t>Zahradní 5265;  430 04  Chomutov</t>
  </si>
  <si>
    <t xml:space="preserve">Poř.č. řádku </t>
  </si>
  <si>
    <t>Ukazatel</t>
  </si>
  <si>
    <t>Skutečnost k 31.12.2018</t>
  </si>
  <si>
    <t>Schválený rozpočet (plán NaV 2019)</t>
  </si>
  <si>
    <t>Skutečnost k 30.6.2019</t>
  </si>
  <si>
    <t>Plán 2020 (návrh rozpočtu organizace)</t>
  </si>
  <si>
    <t>Porovnání s rokem 2019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</si>
  <si>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</si>
  <si>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</si>
  <si>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</si>
  <si>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</si>
  <si>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</si>
  <si>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</si>
  <si>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</si>
  <si>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</si>
  <si>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</si>
  <si>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</si>
  <si>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</si>
  <si>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</si>
  <si>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</si>
  <si>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</si>
  <si>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</si>
  <si>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</si>
  <si>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</si>
  <si>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</si>
  <si>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</si>
  <si>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</si>
  <si>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</si>
  <si>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</si>
  <si>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</si>
  <si>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</si>
  <si>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</si>
  <si>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</si>
  <si>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</si>
  <si>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</si>
  <si>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</si>
  <si>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</si>
  <si>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</si>
  <si>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</si>
  <si>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</si>
  <si>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</si>
  <si>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</si>
  <si>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</si>
  <si>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</si>
  <si>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</si>
  <si>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</si>
  <si>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</si>
  <si>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</si>
  <si>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</si>
  <si>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</si>
  <si>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 xml:space="preserve"> 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</si>
  <si>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</si>
  <si>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</si>
  <si>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</si>
  <si>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</si>
  <si>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</si>
  <si>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</si>
  <si>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</si>
  <si>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</si>
  <si>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</si>
  <si>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</si>
  <si>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</si>
  <si>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</si>
  <si>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</si>
  <si>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</si>
  <si>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</si>
  <si>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</si>
  <si>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</si>
  <si>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</si>
  <si>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</si>
  <si>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</si>
  <si>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</si>
  <si>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</si>
  <si>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</si>
  <si>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</si>
  <si>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</si>
  <si>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</si>
  <si>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</si>
  <si>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</si>
  <si>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</si>
  <si>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</si>
  <si>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</si>
  <si>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</si>
  <si>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</si>
  <si>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</si>
  <si>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</si>
  <si>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</si>
  <si>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</si>
  <si>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</si>
  <si>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</si>
  <si>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</si>
  <si>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</si>
  <si>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</si>
  <si>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</si>
  <si>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</si>
  <si>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</si>
  <si>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</si>
  <si>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</si>
  <si>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Dne:</t>
  </si>
  <si>
    <t xml:space="preserve">Sestavil: </t>
  </si>
  <si>
    <t>Věra Čmejrková</t>
  </si>
  <si>
    <t xml:space="preserve">Schválil: </t>
  </si>
  <si>
    <t>Mgr. Libuše Slavíková</t>
  </si>
  <si>
    <t>Podpis:</t>
  </si>
  <si>
    <t>Hons Miloslav</t>
  </si>
  <si>
    <t>Moravcová Marcela</t>
  </si>
  <si>
    <t>projekt ŠABLONY zahájen k 1.9.2019, čerpání bude až v roce 2020 ve výši 1.200 tis a v roce 2021 ve výši 600 tis.-viz ost.transfery</t>
  </si>
  <si>
    <t>Schválený rozpočet (plán NaV 2019)-původní</t>
  </si>
  <si>
    <t>Na Příkopech 895, Chomutov</t>
  </si>
  <si>
    <t>Základní škola Chomutov, Na Příkopech 895</t>
  </si>
  <si>
    <t>Základní škola Chomutov, Kadaňská 2334</t>
  </si>
  <si>
    <t>Kadaňská 2334,  430 03 Chomutov</t>
  </si>
  <si>
    <t xml:space="preserve">Žádáme navýšení rozpočtu  o 535 tis. Kč na rok 2020: </t>
  </si>
  <si>
    <t>125 tis. Kč - roční výměna filtrů do 25  rekuperačních jednotek včetně revize (dva filtry do každé jednotky)</t>
  </si>
  <si>
    <t>75 tis. Kč na služby externího IT technika - správce nové internetové sítě</t>
  </si>
  <si>
    <t>335 tis. Kč odpisy  majetku - navýšení hodnoty budovy ZŠ po rekonstrukci  (odvod zřizovateli ve výši 646 tis. Kč)</t>
  </si>
  <si>
    <t>Odpisy majetku budou činit v roce 2020 celkem 934.791,- Kč z toho odvod zřizovateli 646.362,- Kč.</t>
  </si>
  <si>
    <t>Alena Štorková</t>
  </si>
  <si>
    <t>Mgr. Ilona Zahálková</t>
  </si>
  <si>
    <t>Základní škola Chomutov, Písečná 5144</t>
  </si>
  <si>
    <t>Písečná 5144, 430 04 Chomutov</t>
  </si>
  <si>
    <t>V návrhu rozpočtu na rok 2020 byl stávající schválený rozpočet na rok 2019 navýšen o 3% , tzn. návrh rozpočtu na rok 2020 představuje částku 5370 tis.Kč.</t>
  </si>
  <si>
    <t>V rozpočtu počítáme s předpokladem zvýšených nákladů na energie ( elektřina ) v souvislosti se zabudováním nové výkonnější klimatizace do počítačové učebny školy. V souvislosti se změnou závodního lékaře, kde existuje předpoklad navýšení nákladů za jeho služby dochází k navýšení také položce náklady na služby.</t>
  </si>
  <si>
    <t>Jana Kebrlová</t>
  </si>
  <si>
    <t>Mgr.Miroslav Žalud</t>
  </si>
  <si>
    <t>Základní škola Chomutov, Hornická 4387</t>
  </si>
  <si>
    <t>Chomutov, Hornická 4387</t>
  </si>
  <si>
    <t>Zůstatek k 30. 6.</t>
  </si>
  <si>
    <t>Výnosy:</t>
  </si>
  <si>
    <t>Do provozní dotace z jiných zdrojů je zapojena dotace KÚ na platy a ONIV.</t>
  </si>
  <si>
    <t>Náklady :</t>
  </si>
  <si>
    <t>U spotřeby materiálu došlo k mírnému zvýšení spotřeby z důvodu zdražení stravného - zvýšená cena potravin.</t>
  </si>
  <si>
    <t>Spotřeba energií - cena je stanovena dle splátkových kalendářů.</t>
  </si>
  <si>
    <t>Mzdové náklady - zvýšení počet pracovníků (asistenti pedagoga).</t>
  </si>
  <si>
    <t>Havlíková Michaela</t>
  </si>
  <si>
    <t>PaedDr. Mach Václav</t>
  </si>
  <si>
    <t>Základní škola Chomutov, Školní 1480</t>
  </si>
  <si>
    <t>Školní 1480/61, Chomutov, 430 01</t>
  </si>
  <si>
    <t>V roce 2020 požadujeme navýšení rozpočtu oproti letošnímu roku cca o 2,20 %  - z důvodu navýšení cen za teplo a el. energii (toto navýšení jsme již zohlednili i v upraveném rozpočtu r. 2019-kde jsme částečně využili na pokrytí nákladů RF).</t>
  </si>
  <si>
    <t>Při sestavování plánu na rok 2019 nám nebylo známé navýšení tepelné energie, které nám bylo doúčtováno zpětně i za rok 2018.</t>
  </si>
  <si>
    <t>Ve vlastní činnosti počítáme s navýšením stravného od září 2019 (také v upraveném rozpočtu 2019).</t>
  </si>
  <si>
    <t>Vzhledem k cenám za výrobky jsme provedli přesun mezi účty 501 a 558 oproti plánu na r. 2019 (dle zkušeností již většina vybavení přesahuje částku 3 tis. Kč)</t>
  </si>
  <si>
    <t>V návrhu rozpočtu organizace na rok 2020 jsme nemohli zohlednit odpisový plán i s majetkem projektů z roku 2018/19 - v současné době nemáme předávací protokol s vyčíslením majetku.</t>
  </si>
  <si>
    <t xml:space="preserve">Edita Drexlerová </t>
  </si>
  <si>
    <t xml:space="preserve">Mgr. Vlasta Marková </t>
  </si>
  <si>
    <t>Základní škola Chomutov, Akademika Heyrovského 4539</t>
  </si>
  <si>
    <t>Chomutov, Akademika Heyrovského 4539</t>
  </si>
  <si>
    <t>Alena Bažantová</t>
  </si>
  <si>
    <t>Mgr. Miloš Zelenka</t>
  </si>
  <si>
    <t>Základní škola Chomutov, Březenecká 4679</t>
  </si>
  <si>
    <t>467 897 66</t>
  </si>
  <si>
    <t>Březenecká 4679, 430 04  Chomutov</t>
  </si>
  <si>
    <t>zůstatek k 31.6.</t>
  </si>
  <si>
    <t>rozpočet z příspěvku zřizovatele:</t>
  </si>
  <si>
    <t xml:space="preserve">OPRAVY -  </t>
  </si>
  <si>
    <t>opravy zařízení ve školní jídelně - zastaralé zařízení; údržba kanalizace a tukové jímky; nutné opravy tělocvičného nářadí</t>
  </si>
  <si>
    <t xml:space="preserve">ODPISY HM -   navýšené o odpisy nově nakoupeného majetku a zřizovatelem předané atrium </t>
  </si>
  <si>
    <t>rozpočet z vlastních výnosů:</t>
  </si>
  <si>
    <t>jedná se především o provoz školní družiny a stravování - u nákladů a výnosů počítáme v rozpočtu s mírným nárůstem</t>
  </si>
  <si>
    <t>doplňková činnost:</t>
  </si>
  <si>
    <t>nájmy 2 bytových jednotek a nebytových prostor (tělocvičny, schůzové místnost) a stravování pro cizí strávníky a svačiny pro žáky - počítáme s mírným nárůstem nákladů i tržeb.</t>
  </si>
  <si>
    <t>Věra Buchtová</t>
  </si>
  <si>
    <t xml:space="preserve">Ing. Vladimíra Nováková </t>
  </si>
  <si>
    <t xml:space="preserve">Základní škola a Mateřská škola, Chomutov, 17. listopadu 4728, příspěvková organizace </t>
  </si>
  <si>
    <t xml:space="preserve">Chomutov, 17. listopadu 4728, 430 04 Chomutov </t>
  </si>
  <si>
    <t xml:space="preserve">Schválený rozpočet (plán NaV 2019)  </t>
  </si>
  <si>
    <t>Tržby  601-609 stravování</t>
  </si>
  <si>
    <t xml:space="preserve">Ostatní výnosy  </t>
  </si>
  <si>
    <t>skutečnost k 30.6.2019</t>
  </si>
  <si>
    <t>celkem</t>
  </si>
  <si>
    <t>RF</t>
  </si>
  <si>
    <t>FRIM</t>
  </si>
  <si>
    <t>FO</t>
  </si>
  <si>
    <t>Příjmy : V roce 2020 plánujeme snížení příjmu za pronájem nebytových prostor (MUDr. Šnajdrová - ordinace)</t>
  </si>
  <si>
    <t>Výdaje: navýšení výdajů u položky 518 - služby (nájemné za pronajímané nebytové prostory pro naší školu při nemocnici, nájemné za pronájem kopírovacích strojů)</t>
  </si>
  <si>
    <t>Jindřiška Beránková</t>
  </si>
  <si>
    <t>Mgr. Hana Horská</t>
  </si>
  <si>
    <t>Základní umělecká škola T.G. Masaryka Chomutov</t>
  </si>
  <si>
    <t>Náměstí T. G. Masaryka 1626 Chomutov</t>
  </si>
  <si>
    <t>Návrh rozpočtu je stanoven tak, že požadavek na zřizovatele se navyšuje o 200 tis. oproti roku 2019.  Toto navýšení je v důsledku navýšení  odpisů z majetku  ( pořízení DHM v 2019) a rovněž v důsledku zřizobvatelem schválené a deklarované  podpory Akademie kultury pro seniory.</t>
  </si>
  <si>
    <t>S předpokládaným navýšením počtu žáků a avizovanou valorizací mezd pedagogických pracovníků , počítáme rovněž s navýšením příspěvku na platy  ze státního rozpočtu.</t>
  </si>
  <si>
    <t>Bc. Lenka Maříková</t>
  </si>
  <si>
    <t>Mgr. Karel Žižka</t>
  </si>
  <si>
    <t>Základní škola speciální a Mateřská škola Chomutov</t>
  </si>
  <si>
    <t>Palachova 4881, 430 03 Chomutov 3</t>
  </si>
  <si>
    <t>Opravy a udržování  -  z důvodu havarijního stavu obkladů ve školní kuchyni musíme rozpočet navýšit o 50 tis. Kč. Do rozpočtu jsme na tuto opravu dali částku 171,9 tis. Kč, avšak rozpočet na nové obklady podlahy a stěn je ve výši 194,9 tis. Kč. Rozdíl ve výši 23 tis. Kč, počítáme uhradit z R.F.</t>
  </si>
  <si>
    <t>Kubátová Ilona</t>
  </si>
  <si>
    <t>Khůnová Markéta - pověřená zástupkyně ředitelky</t>
  </si>
  <si>
    <t>Mateřská škola Chomutov, příspěvková organizace</t>
  </si>
  <si>
    <t>Jiráskova 4335, 430 03  Chomutov</t>
  </si>
  <si>
    <t>Navýšení provozního příspěvku zřizovatele na rok 2020 oproti plánu roku 2019 o 316. tis Kč vzhledem k navýšení částky odpisů ( navýšení hodnoty budov MŠ Palackého, MŠ Růžová).</t>
  </si>
  <si>
    <t>Přesun v rámci položek rozpočtu ze služeb -ukončení externího zpracování mzdových údajů - do mzdových nákladů a část do nákupu DDHM (zakoupení nových nerezových stolů, škrabek brambor do školních kuchyní)</t>
  </si>
  <si>
    <t>Do zvýšení vlastních tržeb je promítnuto  - navýšení ceny stravného a zároveň očekávaný nárust tržeb vzhledem k zapojení školy do projektu Poskytování bezplatné stravy dětem ohroženým chudobou ve školách z prostředků OP PMP</t>
  </si>
  <si>
    <t>Ostatní transfery zvýšení vzhledem k očekávanému zvýšení platů ve školství a zároveň pokračující projekt MŠMT Šablony II.</t>
  </si>
  <si>
    <t>Ing. Jitka Svobodová</t>
  </si>
  <si>
    <t>Bc. Eliška Smetanová</t>
  </si>
  <si>
    <t>Středisko volného času Domeček Chomutov, příspěvková organizace</t>
  </si>
  <si>
    <t>71 29 41 47</t>
  </si>
  <si>
    <t>Jiráskova 4140, 430 03  Chomutov</t>
  </si>
  <si>
    <t>původně schválený</t>
  </si>
  <si>
    <t>Bc. Blanka Vavrušková</t>
  </si>
  <si>
    <t>Bc. Radoslav Malarik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</si>
</sst>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0.0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10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3" fillId="3" borderId="6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4" fontId="0" fillId="6" borderId="24" xfId="0" applyNumberFormat="1" applyFont="1" applyFill="1" applyBorder="1" applyAlignment="1" applyProtection="1">
      <alignment horizontal="right"/>
    </xf>
    <xf numFmtId="164" fontId="0" fillId="6" borderId="25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7" xfId="0" applyNumberFormat="1" applyFont="1" applyFill="1" applyBorder="1" applyAlignment="1" applyProtection="1">
      <alignment horizontal="right"/>
      <protection locked="0"/>
    </xf>
    <xf numFmtId="164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4" fontId="0" fillId="7" borderId="28" xfId="0" applyNumberFormat="1" applyFont="1" applyFill="1" applyBorder="1" applyAlignment="1" applyProtection="1">
      <alignment horizontal="right"/>
      <protection locked="0"/>
    </xf>
    <xf numFmtId="164" fontId="0" fillId="6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164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4" fontId="2" fillId="9" borderId="28" xfId="0" applyNumberFormat="1" applyFont="1" applyFill="1" applyBorder="1" applyAlignment="1" applyProtection="1">
      <alignment horizontal="right"/>
      <protection locked="0"/>
    </xf>
    <xf numFmtId="164" fontId="2" fillId="6" borderId="30" xfId="0" applyNumberFormat="1" applyFont="1" applyFill="1" applyBorder="1" applyAlignment="1" applyProtection="1">
      <alignment horizontal="right"/>
    </xf>
    <xf numFmtId="164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4" fontId="0" fillId="6" borderId="28" xfId="0" applyNumberFormat="1" applyFont="1" applyFill="1" applyBorder="1" applyAlignment="1" applyProtection="1">
      <alignment horizontal="right"/>
    </xf>
    <xf numFmtId="164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4" fontId="2" fillId="6" borderId="28" xfId="0" applyNumberFormat="1" applyFont="1" applyFill="1" applyBorder="1" applyAlignment="1" applyProtection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4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4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4" fontId="0" fillId="6" borderId="35" xfId="0" applyNumberFormat="1" applyFont="1" applyFill="1" applyBorder="1" applyAlignment="1" applyProtection="1">
      <alignment horizontal="right"/>
    </xf>
    <xf numFmtId="164" fontId="0" fillId="6" borderId="36" xfId="0" applyNumberFormat="1" applyFont="1" applyFill="1" applyBorder="1" applyAlignment="1" applyProtection="1">
      <alignment horizontal="right"/>
    </xf>
    <xf numFmtId="164" fontId="0" fillId="0" borderId="36" xfId="0" applyNumberFormat="1" applyFont="1" applyBorder="1" applyAlignment="1" applyProtection="1">
      <alignment horizontal="right"/>
      <protection locked="0"/>
    </xf>
    <xf numFmtId="164" fontId="0" fillId="0" borderId="37" xfId="0" applyNumberFormat="1" applyFont="1" applyFill="1" applyBorder="1" applyAlignment="1" applyProtection="1">
      <alignment horizontal="right"/>
      <protection locked="0"/>
    </xf>
    <xf numFmtId="164" fontId="0" fillId="0" borderId="38" xfId="0" applyNumberFormat="1" applyFont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4" fontId="3" fillId="4" borderId="1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164" fontId="3" fillId="4" borderId="11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0" fontId="0" fillId="0" borderId="23" xfId="0" applyBorder="1" applyProtection="1"/>
    <xf numFmtId="164" fontId="0" fillId="0" borderId="45" xfId="0" applyNumberFormat="1" applyFont="1" applyBorder="1" applyProtection="1">
      <protection locked="0"/>
    </xf>
    <xf numFmtId="164" fontId="0" fillId="0" borderId="46" xfId="0" applyNumberFormat="1" applyFont="1" applyBorder="1" applyProtection="1">
      <protection locked="0"/>
    </xf>
    <xf numFmtId="164" fontId="0" fillId="0" borderId="47" xfId="0" applyNumberFormat="1" applyFont="1" applyFill="1" applyBorder="1" applyAlignment="1" applyProtection="1">
      <alignment horizontal="right"/>
    </xf>
    <xf numFmtId="164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4" fontId="0" fillId="0" borderId="48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28" xfId="0" applyNumberFormat="1" applyFont="1" applyFill="1" applyBorder="1" applyProtection="1">
      <protection locked="0"/>
    </xf>
    <xf numFmtId="164" fontId="0" fillId="0" borderId="48" xfId="0" applyNumberFormat="1" applyFont="1" applyBorder="1" applyProtection="1">
      <protection locked="0"/>
    </xf>
    <xf numFmtId="164" fontId="0" fillId="0" borderId="28" xfId="0" applyNumberFormat="1" applyFont="1" applyBorder="1" applyProtection="1">
      <protection locked="0"/>
    </xf>
    <xf numFmtId="0" fontId="0" fillId="0" borderId="48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4" fontId="0" fillId="0" borderId="51" xfId="0" applyNumberFormat="1" applyFont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164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4" fontId="3" fillId="9" borderId="19" xfId="0" applyNumberFormat="1" applyFont="1" applyFill="1" applyBorder="1" applyProtection="1"/>
    <xf numFmtId="164" fontId="0" fillId="9" borderId="46" xfId="0" applyNumberFormat="1" applyFont="1" applyFill="1" applyBorder="1" applyProtection="1">
      <protection locked="0"/>
    </xf>
    <xf numFmtId="164" fontId="3" fillId="9" borderId="16" xfId="0" applyNumberFormat="1" applyFont="1" applyFill="1" applyBorder="1" applyProtection="1"/>
    <xf numFmtId="164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5" fontId="6" fillId="10" borderId="53" xfId="0" applyNumberFormat="1" applyFont="1" applyFill="1" applyBorder="1" applyAlignment="1" applyProtection="1"/>
    <xf numFmtId="165" fontId="13" fillId="11" borderId="53" xfId="0" applyNumberFormat="1" applyFont="1" applyFill="1" applyBorder="1" applyAlignment="1" applyProtection="1"/>
    <xf numFmtId="165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4" fontId="15" fillId="5" borderId="19" xfId="0" applyNumberFormat="1" applyFont="1" applyFill="1" applyBorder="1" applyAlignment="1" applyProtection="1">
      <alignment horizontal="center"/>
    </xf>
    <xf numFmtId="164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4" fontId="15" fillId="5" borderId="43" xfId="0" applyNumberFormat="1" applyFont="1" applyFill="1" applyBorder="1" applyProtection="1"/>
    <xf numFmtId="165" fontId="14" fillId="12" borderId="39" xfId="0" applyNumberFormat="1" applyFont="1" applyFill="1" applyBorder="1" applyProtection="1"/>
    <xf numFmtId="164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4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164" fontId="3" fillId="5" borderId="19" xfId="0" applyNumberFormat="1" applyFont="1" applyFill="1" applyBorder="1" applyProtection="1">
      <protection locked="0"/>
    </xf>
    <xf numFmtId="164" fontId="3" fillId="5" borderId="4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15" fillId="2" borderId="0" xfId="0" applyNumberFormat="1" applyFont="1" applyFill="1" applyBorder="1" applyAlignment="1" applyProtection="1">
      <alignment horizontal="right"/>
    </xf>
    <xf numFmtId="164" fontId="3" fillId="0" borderId="17" xfId="0" applyNumberFormat="1" applyFont="1" applyFill="1" applyBorder="1" applyProtection="1">
      <protection locked="0"/>
    </xf>
    <xf numFmtId="164" fontId="3" fillId="0" borderId="55" xfId="0" applyNumberFormat="1" applyFont="1" applyFill="1" applyBorder="1" applyProtection="1">
      <protection locked="0"/>
    </xf>
    <xf numFmtId="164" fontId="3" fillId="0" borderId="20" xfId="0" applyNumberFormat="1" applyFont="1" applyFill="1" applyBorder="1" applyProtection="1">
      <protection locked="0"/>
    </xf>
    <xf numFmtId="164" fontId="3" fillId="2" borderId="0" xfId="0" applyNumberFormat="1" applyFont="1" applyFill="1" applyBorder="1" applyProtection="1">
      <protection locked="0"/>
    </xf>
    <xf numFmtId="164" fontId="16" fillId="5" borderId="19" xfId="0" applyNumberFormat="1" applyFont="1" applyFill="1" applyBorder="1" applyAlignment="1" applyProtection="1">
      <alignment horizontal="center" wrapText="1"/>
      <protection locked="0"/>
    </xf>
    <xf numFmtId="164" fontId="16" fillId="5" borderId="5" xfId="0" applyNumberFormat="1" applyFont="1" applyFill="1" applyBorder="1" applyAlignment="1" applyProtection="1">
      <alignment horizontal="center" wrapText="1"/>
    </xf>
    <xf numFmtId="164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164" fontId="3" fillId="0" borderId="44" xfId="0" applyNumberFormat="1" applyFont="1" applyFill="1" applyBorder="1" applyProtection="1">
      <protection locked="0"/>
    </xf>
    <xf numFmtId="164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4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4" fontId="3" fillId="0" borderId="30" xfId="0" applyNumberFormat="1" applyFont="1" applyFill="1" applyBorder="1" applyAlignment="1" applyProtection="1">
      <alignment horizontal="right"/>
      <protection locked="0"/>
    </xf>
    <xf numFmtId="164" fontId="3" fillId="0" borderId="30" xfId="0" applyNumberFormat="1" applyFont="1" applyFill="1" applyBorder="1" applyProtection="1"/>
    <xf numFmtId="0" fontId="9" fillId="0" borderId="30" xfId="0" applyFont="1" applyFill="1" applyBorder="1" applyProtection="1"/>
    <xf numFmtId="164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  <xf numFmtId="0" fontId="19" fillId="0" borderId="0" xfId="0" applyFont="1" applyFill="1" applyBorder="1"/>
    <xf numFmtId="0" fontId="19" fillId="0" borderId="13" xfId="0" applyFont="1" applyFill="1" applyBorder="1"/>
    <xf numFmtId="0" fontId="3" fillId="0" borderId="13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13" xfId="0" applyFont="1" applyFill="1" applyBorder="1"/>
    <xf numFmtId="0" fontId="3" fillId="0" borderId="0" xfId="0" applyFont="1" applyFill="1" applyBorder="1"/>
    <xf numFmtId="4" fontId="0" fillId="0" borderId="48" xfId="0" applyNumberFormat="1" applyFont="1" applyBorder="1" applyProtection="1">
      <protection locked="0"/>
    </xf>
    <xf numFmtId="165" fontId="20" fillId="11" borderId="6" xfId="0" applyNumberFormat="1" applyFont="1" applyFill="1" applyBorder="1" applyAlignment="1" applyProtection="1"/>
    <xf numFmtId="0" fontId="0" fillId="2" borderId="0" xfId="0" applyFont="1" applyFill="1" applyProtection="1"/>
    <xf numFmtId="0" fontId="0" fillId="0" borderId="0" xfId="0" applyFont="1" applyFill="1" applyBorder="1"/>
    <xf numFmtId="0" fontId="0" fillId="0" borderId="57" xfId="0" applyFont="1" applyFill="1" applyBorder="1"/>
    <xf numFmtId="0" fontId="0" fillId="2" borderId="0" xfId="0" applyFont="1" applyFill="1"/>
    <xf numFmtId="0" fontId="0" fillId="0" borderId="0" xfId="0" applyFont="1" applyFill="1"/>
    <xf numFmtId="0" fontId="0" fillId="0" borderId="13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164" fontId="14" fillId="0" borderId="59" xfId="0" applyNumberFormat="1" applyFont="1" applyBorder="1" applyAlignment="1"/>
    <xf numFmtId="164" fontId="0" fillId="0" borderId="48" xfId="0" applyNumberFormat="1" applyBorder="1" applyAlignment="1"/>
    <xf numFmtId="164" fontId="0" fillId="0" borderId="48" xfId="0" applyNumberFormat="1" applyBorder="1"/>
    <xf numFmtId="164" fontId="0" fillId="0" borderId="30" xfId="0" applyNumberFormat="1" applyBorder="1"/>
    <xf numFmtId="166" fontId="0" fillId="0" borderId="28" xfId="0" applyNumberFormat="1" applyFont="1" applyBorder="1" applyProtection="1">
      <protection locked="0"/>
    </xf>
    <xf numFmtId="166" fontId="0" fillId="0" borderId="48" xfId="0" applyNumberFormat="1" applyFont="1" applyBorder="1" applyProtection="1">
      <protection locked="0"/>
    </xf>
    <xf numFmtId="164" fontId="0" fillId="14" borderId="22" xfId="0" applyNumberFormat="1" applyFont="1" applyFill="1" applyBorder="1" applyProtection="1">
      <protection locked="0"/>
    </xf>
    <xf numFmtId="164" fontId="0" fillId="14" borderId="45" xfId="0" applyNumberFormat="1" applyFont="1" applyFill="1" applyBorder="1" applyProtection="1">
      <protection locked="0"/>
    </xf>
    <xf numFmtId="164" fontId="0" fillId="14" borderId="28" xfId="0" applyNumberFormat="1" applyFont="1" applyFill="1" applyBorder="1" applyProtection="1">
      <protection locked="0"/>
    </xf>
    <xf numFmtId="164" fontId="0" fillId="14" borderId="48" xfId="0" applyNumberFormat="1" applyFont="1" applyFill="1" applyBorder="1" applyProtection="1">
      <protection locked="0"/>
    </xf>
    <xf numFmtId="0" fontId="0" fillId="14" borderId="28" xfId="0" applyFont="1" applyFill="1" applyBorder="1" applyProtection="1">
      <protection locked="0"/>
    </xf>
    <xf numFmtId="164" fontId="0" fillId="14" borderId="35" xfId="0" applyNumberFormat="1" applyFont="1" applyFill="1" applyBorder="1" applyProtection="1">
      <protection locked="0"/>
    </xf>
    <xf numFmtId="164" fontId="0" fillId="14" borderId="51" xfId="0" applyNumberFormat="1" applyFont="1" applyFill="1" applyBorder="1" applyProtection="1">
      <protection locked="0"/>
    </xf>
    <xf numFmtId="164" fontId="3" fillId="14" borderId="30" xfId="0" applyNumberFormat="1" applyFont="1" applyFill="1" applyBorder="1" applyProtection="1"/>
    <xf numFmtId="164" fontId="3" fillId="14" borderId="30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ill="1" applyBorder="1" applyAlignment="1" applyProtection="1">
      <alignment horizontal="right"/>
      <protection locked="0"/>
    </xf>
    <xf numFmtId="164" fontId="0" fillId="6" borderId="30" xfId="0" applyNumberFormat="1" applyFill="1" applyBorder="1" applyAlignment="1" applyProtection="1">
      <alignment horizontal="right"/>
    </xf>
    <xf numFmtId="164" fontId="0" fillId="0" borderId="30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horizontal="left"/>
      <protection locked="0"/>
    </xf>
    <xf numFmtId="164" fontId="0" fillId="0" borderId="46" xfId="0" applyNumberFormat="1" applyFont="1" applyFill="1" applyBorder="1" applyProtection="1">
      <protection locked="0"/>
    </xf>
    <xf numFmtId="164" fontId="5" fillId="0" borderId="48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0" fontId="0" fillId="15" borderId="0" xfId="0" applyFill="1" applyProtection="1"/>
    <xf numFmtId="10" fontId="0" fillId="15" borderId="0" xfId="0" applyNumberFormat="1" applyFont="1" applyFill="1" applyProtection="1"/>
    <xf numFmtId="0" fontId="0" fillId="15" borderId="0" xfId="0" applyFill="1"/>
    <xf numFmtId="0" fontId="21" fillId="15" borderId="0" xfId="0" applyFont="1" applyFill="1" applyProtection="1"/>
    <xf numFmtId="0" fontId="22" fillId="0" borderId="0" xfId="0" applyFont="1" applyFill="1" applyAlignment="1" applyProtection="1">
      <alignment horizontal="left"/>
      <protection locked="0"/>
    </xf>
    <xf numFmtId="0" fontId="23" fillId="15" borderId="0" xfId="0" applyFont="1" applyFill="1" applyProtection="1"/>
    <xf numFmtId="0" fontId="22" fillId="16" borderId="6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 vertical="center" wrapText="1"/>
    </xf>
    <xf numFmtId="0" fontId="22" fillId="18" borderId="5" xfId="0" applyFont="1" applyFill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/>
    </xf>
    <xf numFmtId="0" fontId="25" fillId="0" borderId="4" xfId="0" applyFont="1" applyBorder="1" applyAlignment="1" applyProtection="1">
      <alignment horizontal="center"/>
    </xf>
    <xf numFmtId="164" fontId="0" fillId="19" borderId="24" xfId="0" applyNumberFormat="1" applyFont="1" applyFill="1" applyBorder="1" applyAlignment="1" applyProtection="1">
      <alignment horizontal="right"/>
    </xf>
    <xf numFmtId="164" fontId="0" fillId="19" borderId="25" xfId="0" applyNumberFormat="1" applyFont="1" applyFill="1" applyBorder="1" applyAlignment="1" applyProtection="1">
      <alignment horizontal="right"/>
    </xf>
    <xf numFmtId="10" fontId="23" fillId="0" borderId="27" xfId="0" applyNumberFormat="1" applyFont="1" applyFill="1" applyBorder="1" applyProtection="1"/>
    <xf numFmtId="0" fontId="0" fillId="20" borderId="29" xfId="0" applyFill="1" applyBorder="1" applyProtection="1"/>
    <xf numFmtId="164" fontId="0" fillId="20" borderId="28" xfId="0" applyNumberFormat="1" applyFont="1" applyFill="1" applyBorder="1" applyAlignment="1" applyProtection="1">
      <alignment horizontal="right"/>
      <protection locked="0"/>
    </xf>
    <xf numFmtId="164" fontId="0" fillId="19" borderId="30" xfId="0" applyNumberFormat="1" applyFont="1" applyFill="1" applyBorder="1" applyAlignment="1" applyProtection="1">
      <alignment horizontal="right"/>
    </xf>
    <xf numFmtId="164" fontId="0" fillId="19" borderId="27" xfId="0" applyNumberFormat="1" applyFont="1" applyFill="1" applyBorder="1" applyAlignment="1" applyProtection="1">
      <alignment horizontal="right"/>
      <protection locked="0"/>
    </xf>
    <xf numFmtId="0" fontId="23" fillId="21" borderId="29" xfId="0" applyFont="1" applyFill="1" applyBorder="1" applyProtection="1"/>
    <xf numFmtId="164" fontId="26" fillId="21" borderId="28" xfId="0" applyNumberFormat="1" applyFont="1" applyFill="1" applyBorder="1" applyAlignment="1" applyProtection="1">
      <alignment horizontal="right"/>
      <protection locked="0"/>
    </xf>
    <xf numFmtId="164" fontId="26" fillId="19" borderId="30" xfId="0" applyNumberFormat="1" applyFont="1" applyFill="1" applyBorder="1" applyAlignment="1" applyProtection="1">
      <alignment horizontal="right"/>
    </xf>
    <xf numFmtId="164" fontId="0" fillId="19" borderId="32" xfId="0" applyNumberFormat="1" applyFont="1" applyFill="1" applyBorder="1" applyAlignment="1" applyProtection="1">
      <alignment horizontal="right"/>
      <protection locked="0"/>
    </xf>
    <xf numFmtId="0" fontId="23" fillId="0" borderId="29" xfId="0" applyFont="1" applyFill="1" applyBorder="1" applyAlignment="1" applyProtection="1">
      <alignment horizontal="left"/>
    </xf>
    <xf numFmtId="164" fontId="0" fillId="19" borderId="28" xfId="0" applyNumberFormat="1" applyFont="1" applyFill="1" applyBorder="1" applyAlignment="1" applyProtection="1">
      <alignment horizontal="right"/>
    </xf>
    <xf numFmtId="164" fontId="26" fillId="0" borderId="30" xfId="0" applyNumberFormat="1" applyFont="1" applyFill="1" applyBorder="1" applyAlignment="1" applyProtection="1">
      <alignment horizontal="right"/>
      <protection locked="0"/>
    </xf>
    <xf numFmtId="0" fontId="23" fillId="0" borderId="29" xfId="0" applyFont="1" applyBorder="1" applyProtection="1"/>
    <xf numFmtId="164" fontId="26" fillId="19" borderId="28" xfId="0" applyNumberFormat="1" applyFont="1" applyFill="1" applyBorder="1" applyAlignment="1" applyProtection="1">
      <alignment horizontal="right"/>
    </xf>
    <xf numFmtId="164" fontId="26" fillId="0" borderId="30" xfId="0" applyNumberFormat="1" applyFont="1" applyBorder="1" applyAlignment="1" applyProtection="1">
      <alignment horizontal="right"/>
      <protection locked="0"/>
    </xf>
    <xf numFmtId="0" fontId="27" fillId="0" borderId="29" xfId="0" applyFont="1" applyBorder="1" applyProtection="1"/>
    <xf numFmtId="164" fontId="0" fillId="19" borderId="35" xfId="0" applyNumberFormat="1" applyFont="1" applyFill="1" applyBorder="1" applyAlignment="1" applyProtection="1">
      <alignment horizontal="right"/>
    </xf>
    <xf numFmtId="164" fontId="0" fillId="19" borderId="36" xfId="0" applyNumberFormat="1" applyFont="1" applyFill="1" applyBorder="1" applyAlignment="1" applyProtection="1">
      <alignment horizontal="right"/>
    </xf>
    <xf numFmtId="10" fontId="23" fillId="0" borderId="12" xfId="0" applyNumberFormat="1" applyFont="1" applyFill="1" applyBorder="1" applyProtection="1"/>
    <xf numFmtId="0" fontId="22" fillId="0" borderId="39" xfId="0" applyFont="1" applyFill="1" applyBorder="1" applyAlignment="1" applyProtection="1">
      <alignment horizontal="center"/>
    </xf>
    <xf numFmtId="0" fontId="22" fillId="17" borderId="40" xfId="0" applyFont="1" applyFill="1" applyBorder="1" applyProtection="1"/>
    <xf numFmtId="164" fontId="22" fillId="17" borderId="1" xfId="0" applyNumberFormat="1" applyFont="1" applyFill="1" applyBorder="1" applyAlignment="1" applyProtection="1">
      <alignment horizontal="right"/>
    </xf>
    <xf numFmtId="164" fontId="22" fillId="17" borderId="10" xfId="0" applyNumberFormat="1" applyFont="1" applyFill="1" applyBorder="1" applyAlignment="1" applyProtection="1">
      <alignment horizontal="right"/>
    </xf>
    <xf numFmtId="164" fontId="22" fillId="17" borderId="11" xfId="0" applyNumberFormat="1" applyFont="1" applyFill="1" applyBorder="1" applyAlignment="1" applyProtection="1">
      <alignment horizontal="right"/>
    </xf>
    <xf numFmtId="164" fontId="22" fillId="17" borderId="6" xfId="0" applyNumberFormat="1" applyFont="1" applyFill="1" applyBorder="1" applyAlignment="1" applyProtection="1">
      <alignment horizontal="right"/>
    </xf>
    <xf numFmtId="10" fontId="23" fillId="17" borderId="39" xfId="0" applyNumberFormat="1" applyFont="1" applyFill="1" applyBorder="1" applyProtection="1"/>
    <xf numFmtId="0" fontId="0" fillId="18" borderId="41" xfId="0" applyFill="1" applyBorder="1" applyAlignment="1" applyProtection="1">
      <alignment horizontal="center"/>
    </xf>
    <xf numFmtId="0" fontId="22" fillId="18" borderId="40" xfId="0" applyFont="1" applyFill="1" applyBorder="1" applyProtection="1"/>
    <xf numFmtId="0" fontId="31" fillId="0" borderId="19" xfId="0" applyFont="1" applyBorder="1" applyAlignment="1" applyProtection="1">
      <alignment horizontal="center"/>
    </xf>
    <xf numFmtId="0" fontId="31" fillId="0" borderId="4" xfId="0" applyFont="1" applyBorder="1" applyAlignment="1" applyProtection="1">
      <alignment horizontal="center"/>
    </xf>
    <xf numFmtId="0" fontId="31" fillId="0" borderId="43" xfId="0" applyFont="1" applyBorder="1" applyAlignment="1" applyProtection="1">
      <alignment horizontal="center"/>
    </xf>
    <xf numFmtId="0" fontId="23" fillId="0" borderId="29" xfId="0" applyFont="1" applyBorder="1" applyAlignment="1" applyProtection="1">
      <alignment horizontal="left" indent="5"/>
    </xf>
    <xf numFmtId="0" fontId="22" fillId="21" borderId="14" xfId="0" applyFont="1" applyFill="1" applyBorder="1" applyProtection="1"/>
    <xf numFmtId="164" fontId="22" fillId="21" borderId="19" xfId="0" applyNumberFormat="1" applyFont="1" applyFill="1" applyBorder="1" applyProtection="1"/>
    <xf numFmtId="164" fontId="0" fillId="21" borderId="46" xfId="0" applyNumberFormat="1" applyFont="1" applyFill="1" applyBorder="1" applyProtection="1">
      <protection locked="0"/>
    </xf>
    <xf numFmtId="164" fontId="22" fillId="21" borderId="16" xfId="0" applyNumberFormat="1" applyFont="1" applyFill="1" applyBorder="1" applyProtection="1"/>
    <xf numFmtId="164" fontId="22" fillId="21" borderId="39" xfId="0" applyNumberFormat="1" applyFont="1" applyFill="1" applyBorder="1" applyProtection="1"/>
    <xf numFmtId="10" fontId="23" fillId="21" borderId="39" xfId="0" applyNumberFormat="1" applyFont="1" applyFill="1" applyBorder="1" applyProtection="1"/>
    <xf numFmtId="0" fontId="24" fillId="0" borderId="53" xfId="0" applyFont="1" applyFill="1" applyBorder="1" applyAlignment="1" applyProtection="1">
      <alignment horizontal="center"/>
    </xf>
    <xf numFmtId="0" fontId="24" fillId="22" borderId="53" xfId="0" applyFont="1" applyFill="1" applyBorder="1" applyAlignment="1" applyProtection="1">
      <alignment horizontal="left"/>
    </xf>
    <xf numFmtId="165" fontId="24" fillId="22" borderId="53" xfId="0" applyNumberFormat="1" applyFont="1" applyFill="1" applyBorder="1" applyAlignment="1" applyProtection="1"/>
    <xf numFmtId="165" fontId="32" fillId="23" borderId="53" xfId="0" applyNumberFormat="1" applyFont="1" applyFill="1" applyBorder="1" applyAlignment="1" applyProtection="1"/>
    <xf numFmtId="165" fontId="32" fillId="23" borderId="6" xfId="0" applyNumberFormat="1" applyFont="1" applyFill="1" applyBorder="1" applyAlignment="1" applyProtection="1"/>
    <xf numFmtId="10" fontId="33" fillId="23" borderId="27" xfId="0" applyNumberFormat="1" applyFont="1" applyFill="1" applyBorder="1" applyProtection="1"/>
    <xf numFmtId="0" fontId="34" fillId="0" borderId="14" xfId="0" applyFont="1" applyFill="1" applyBorder="1" applyAlignment="1" applyProtection="1">
      <alignment horizontal="center"/>
    </xf>
    <xf numFmtId="0" fontId="34" fillId="0" borderId="14" xfId="0" applyFont="1" applyBorder="1" applyProtection="1"/>
    <xf numFmtId="164" fontId="35" fillId="18" borderId="19" xfId="0" applyNumberFormat="1" applyFont="1" applyFill="1" applyBorder="1" applyAlignment="1" applyProtection="1">
      <alignment horizontal="center"/>
    </xf>
    <xf numFmtId="164" fontId="35" fillId="18" borderId="4" xfId="0" applyNumberFormat="1" applyFont="1" applyFill="1" applyBorder="1" applyProtection="1"/>
    <xf numFmtId="0" fontId="34" fillId="18" borderId="4" xfId="0" applyFont="1" applyFill="1" applyBorder="1" applyProtection="1"/>
    <xf numFmtId="164" fontId="35" fillId="18" borderId="43" xfId="0" applyNumberFormat="1" applyFont="1" applyFill="1" applyBorder="1" applyProtection="1"/>
    <xf numFmtId="165" fontId="34" fillId="18" borderId="39" xfId="0" applyNumberFormat="1" applyFont="1" applyFill="1" applyBorder="1" applyProtection="1"/>
    <xf numFmtId="164" fontId="35" fillId="18" borderId="5" xfId="0" applyNumberFormat="1" applyFont="1" applyFill="1" applyBorder="1" applyProtection="1"/>
    <xf numFmtId="0" fontId="0" fillId="15" borderId="0" xfId="0" applyFill="1" applyBorder="1" applyProtection="1"/>
    <xf numFmtId="0" fontId="0" fillId="15" borderId="0" xfId="0" applyFont="1" applyFill="1" applyBorder="1" applyAlignment="1" applyProtection="1">
      <alignment horizontal="center"/>
    </xf>
    <xf numFmtId="0" fontId="22" fillId="15" borderId="0" xfId="0" applyFont="1" applyFill="1" applyBorder="1" applyProtection="1"/>
    <xf numFmtId="164" fontId="22" fillId="15" borderId="0" xfId="0" applyNumberFormat="1" applyFont="1" applyFill="1" applyBorder="1" applyAlignment="1" applyProtection="1">
      <alignment horizontal="center"/>
    </xf>
    <xf numFmtId="164" fontId="22" fillId="15" borderId="0" xfId="0" applyNumberFormat="1" applyFont="1" applyFill="1" applyBorder="1" applyProtection="1"/>
    <xf numFmtId="0" fontId="0" fillId="15" borderId="0" xfId="0" applyFill="1" applyBorder="1"/>
    <xf numFmtId="0" fontId="0" fillId="15" borderId="0" xfId="0" applyFill="1" applyBorder="1" applyAlignment="1" applyProtection="1">
      <alignment horizontal="center"/>
    </xf>
    <xf numFmtId="164" fontId="22" fillId="18" borderId="19" xfId="0" applyNumberFormat="1" applyFont="1" applyFill="1" applyBorder="1" applyProtection="1">
      <protection locked="0"/>
    </xf>
    <xf numFmtId="164" fontId="22" fillId="18" borderId="4" xfId="0" applyNumberFormat="1" applyFont="1" applyFill="1" applyBorder="1" applyProtection="1"/>
    <xf numFmtId="164" fontId="22" fillId="18" borderId="5" xfId="0" applyNumberFormat="1" applyFont="1" applyFill="1" applyBorder="1" applyProtection="1"/>
    <xf numFmtId="164" fontId="35" fillId="15" borderId="0" xfId="0" applyNumberFormat="1" applyFont="1" applyFill="1" applyBorder="1" applyAlignment="1" applyProtection="1">
      <alignment horizontal="right"/>
    </xf>
    <xf numFmtId="164" fontId="22" fillId="0" borderId="17" xfId="0" applyNumberFormat="1" applyFont="1" applyFill="1" applyBorder="1" applyProtection="1">
      <protection locked="0"/>
    </xf>
    <xf numFmtId="164" fontId="22" fillId="0" borderId="55" xfId="0" applyNumberFormat="1" applyFont="1" applyFill="1" applyBorder="1" applyProtection="1">
      <protection locked="0"/>
    </xf>
    <xf numFmtId="164" fontId="22" fillId="0" borderId="20" xfId="0" applyNumberFormat="1" applyFont="1" applyFill="1" applyBorder="1" applyProtection="1">
      <protection locked="0"/>
    </xf>
    <xf numFmtId="164" fontId="22" fillId="15" borderId="0" xfId="0" applyNumberFormat="1" applyFont="1" applyFill="1" applyBorder="1" applyProtection="1">
      <protection locked="0"/>
    </xf>
    <xf numFmtId="164" fontId="36" fillId="18" borderId="19" xfId="0" applyNumberFormat="1" applyFont="1" applyFill="1" applyBorder="1" applyAlignment="1" applyProtection="1">
      <alignment horizontal="center" wrapText="1"/>
      <protection locked="0"/>
    </xf>
    <xf numFmtId="164" fontId="36" fillId="18" borderId="5" xfId="0" applyNumberFormat="1" applyFont="1" applyFill="1" applyBorder="1" applyAlignment="1" applyProtection="1">
      <alignment horizontal="center" wrapText="1"/>
    </xf>
    <xf numFmtId="164" fontId="36" fillId="15" borderId="0" xfId="0" applyNumberFormat="1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/>
    </xf>
    <xf numFmtId="164" fontId="22" fillId="0" borderId="44" xfId="0" applyNumberFormat="1" applyFont="1" applyFill="1" applyBorder="1" applyProtection="1">
      <protection locked="0"/>
    </xf>
    <xf numFmtId="164" fontId="22" fillId="15" borderId="0" xfId="0" applyNumberFormat="1" applyFont="1" applyFill="1" applyBorder="1" applyAlignment="1" applyProtection="1">
      <alignment horizontal="right"/>
      <protection locked="0"/>
    </xf>
    <xf numFmtId="0" fontId="22" fillId="19" borderId="30" xfId="0" applyFont="1" applyFill="1" applyBorder="1" applyProtection="1"/>
    <xf numFmtId="164" fontId="22" fillId="19" borderId="30" xfId="0" applyNumberFormat="1" applyFont="1" applyFill="1" applyBorder="1" applyAlignment="1" applyProtection="1">
      <alignment horizontal="center"/>
    </xf>
    <xf numFmtId="0" fontId="22" fillId="0" borderId="30" xfId="0" applyFont="1" applyFill="1" applyBorder="1" applyProtection="1"/>
    <xf numFmtId="164" fontId="22" fillId="0" borderId="30" xfId="0" applyNumberFormat="1" applyFont="1" applyFill="1" applyBorder="1" applyAlignment="1" applyProtection="1">
      <alignment horizontal="right"/>
      <protection locked="0"/>
    </xf>
    <xf numFmtId="164" fontId="22" fillId="0" borderId="30" xfId="0" applyNumberFormat="1" applyFont="1" applyFill="1" applyBorder="1" applyProtection="1"/>
    <xf numFmtId="0" fontId="28" fillId="0" borderId="30" xfId="0" applyFont="1" applyFill="1" applyBorder="1" applyProtection="1"/>
    <xf numFmtId="164" fontId="22" fillId="0" borderId="30" xfId="0" applyNumberFormat="1" applyFont="1" applyFill="1" applyBorder="1" applyProtection="1">
      <protection locked="0"/>
    </xf>
    <xf numFmtId="0" fontId="22" fillId="19" borderId="37" xfId="0" applyFont="1" applyFill="1" applyBorder="1" applyAlignment="1" applyProtection="1">
      <alignment horizontal="left"/>
    </xf>
    <xf numFmtId="0" fontId="22" fillId="19" borderId="56" xfId="0" applyFont="1" applyFill="1" applyBorder="1" applyAlignment="1" applyProtection="1">
      <alignment horizontal="left"/>
    </xf>
    <xf numFmtId="0" fontId="22" fillId="0" borderId="13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37" fillId="0" borderId="13" xfId="1" applyFont="1" applyBorder="1" applyProtection="1"/>
    <xf numFmtId="0" fontId="37" fillId="0" borderId="13" xfId="1" applyFont="1" applyFill="1" applyBorder="1" applyProtection="1"/>
    <xf numFmtId="0" fontId="37" fillId="0" borderId="0" xfId="1" applyFont="1" applyFill="1" applyBorder="1" applyProtection="1"/>
    <xf numFmtId="0" fontId="37" fillId="0" borderId="0" xfId="1" applyFont="1" applyBorder="1" applyProtection="1"/>
    <xf numFmtId="0" fontId="37" fillId="0" borderId="0" xfId="0" applyFont="1" applyFill="1" applyBorder="1"/>
    <xf numFmtId="0" fontId="37" fillId="0" borderId="26" xfId="1" applyFont="1" applyBorder="1" applyProtection="1"/>
    <xf numFmtId="0" fontId="37" fillId="0" borderId="58" xfId="0" applyFont="1" applyFill="1" applyBorder="1"/>
    <xf numFmtId="0" fontId="37" fillId="0" borderId="58" xfId="1" applyFont="1" applyBorder="1" applyProtection="1"/>
    <xf numFmtId="0" fontId="22" fillId="0" borderId="58" xfId="0" applyFont="1" applyFill="1" applyBorder="1" applyAlignment="1" applyProtection="1">
      <alignment horizontal="left"/>
      <protection locked="0"/>
    </xf>
    <xf numFmtId="0" fontId="37" fillId="15" borderId="0" xfId="1" applyFont="1" applyFill="1" applyBorder="1" applyProtection="1"/>
    <xf numFmtId="0" fontId="37" fillId="15" borderId="0" xfId="0" applyFont="1" applyFill="1" applyBorder="1"/>
    <xf numFmtId="0" fontId="22" fillId="15" borderId="0" xfId="0" applyFont="1" applyFill="1" applyBorder="1" applyAlignment="1" applyProtection="1">
      <alignment horizontal="left"/>
      <protection locked="0"/>
    </xf>
    <xf numFmtId="0" fontId="22" fillId="15" borderId="0" xfId="0" applyFont="1" applyFill="1" applyBorder="1" applyAlignment="1" applyProtection="1">
      <alignment horizontal="left"/>
    </xf>
    <xf numFmtId="14" fontId="22" fillId="18" borderId="0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</xf>
    <xf numFmtId="0" fontId="22" fillId="18" borderId="0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3" fillId="13" borderId="41" xfId="0" applyFont="1" applyFill="1" applyBorder="1" applyAlignment="1" applyProtection="1">
      <alignment horizontal="left" vertical="center"/>
    </xf>
    <xf numFmtId="0" fontId="3" fillId="13" borderId="54" xfId="0" applyFont="1" applyFill="1" applyBorder="1" applyAlignment="1" applyProtection="1">
      <alignment horizontal="left" vertical="center"/>
    </xf>
    <xf numFmtId="0" fontId="3" fillId="13" borderId="21" xfId="0" applyFont="1" applyFill="1" applyBorder="1" applyAlignment="1" applyProtection="1">
      <alignment horizontal="left" vertical="center"/>
    </xf>
    <xf numFmtId="164" fontId="3" fillId="0" borderId="56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64" fontId="9" fillId="9" borderId="14" xfId="0" applyNumberFormat="1" applyFont="1" applyFill="1" applyBorder="1" applyAlignment="1" applyProtection="1">
      <alignment horizontal="center"/>
    </xf>
    <xf numFmtId="164" fontId="9" fillId="9" borderId="15" xfId="0" applyNumberFormat="1" applyFont="1" applyFill="1" applyBorder="1" applyAlignment="1" applyProtection="1">
      <alignment horizontal="center"/>
    </xf>
    <xf numFmtId="164" fontId="9" fillId="9" borderId="40" xfId="0" applyNumberFormat="1" applyFont="1" applyFill="1" applyBorder="1" applyAlignment="1" applyProtection="1">
      <alignment horizontal="center"/>
    </xf>
    <xf numFmtId="164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2" fillId="0" borderId="13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18" borderId="0" xfId="0" applyFont="1" applyFill="1" applyBorder="1" applyAlignment="1" applyProtection="1">
      <alignment horizontal="left"/>
      <protection locked="0"/>
    </xf>
    <xf numFmtId="0" fontId="30" fillId="0" borderId="42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center" vertical="center"/>
    </xf>
    <xf numFmtId="0" fontId="22" fillId="19" borderId="41" xfId="0" applyFont="1" applyFill="1" applyBorder="1" applyAlignment="1" applyProtection="1">
      <alignment horizontal="left" vertical="center"/>
    </xf>
    <xf numFmtId="0" fontId="22" fillId="19" borderId="54" xfId="0" applyFont="1" applyFill="1" applyBorder="1" applyAlignment="1" applyProtection="1">
      <alignment horizontal="left" vertical="center"/>
    </xf>
    <xf numFmtId="0" fontId="22" fillId="19" borderId="21" xfId="0" applyFont="1" applyFill="1" applyBorder="1" applyAlignment="1" applyProtection="1">
      <alignment horizontal="left" vertical="center"/>
    </xf>
    <xf numFmtId="164" fontId="22" fillId="0" borderId="56" xfId="0" applyNumberFormat="1" applyFont="1" applyFill="1" applyBorder="1" applyAlignment="1" applyProtection="1">
      <alignment horizontal="left"/>
      <protection locked="0"/>
    </xf>
    <xf numFmtId="0" fontId="22" fillId="0" borderId="14" xfId="0" applyFont="1" applyBorder="1" applyAlignment="1" applyProtection="1">
      <alignment horizontal="center"/>
    </xf>
    <xf numFmtId="0" fontId="22" fillId="0" borderId="15" xfId="0" applyFont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 wrapText="1"/>
    </xf>
    <xf numFmtId="0" fontId="22" fillId="0" borderId="7" xfId="0" applyFont="1" applyFill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164" fontId="28" fillId="21" borderId="14" xfId="0" applyNumberFormat="1" applyFont="1" applyFill="1" applyBorder="1" applyAlignment="1" applyProtection="1">
      <alignment horizontal="center"/>
    </xf>
    <xf numFmtId="164" fontId="28" fillId="21" borderId="15" xfId="0" applyNumberFormat="1" applyFont="1" applyFill="1" applyBorder="1" applyAlignment="1" applyProtection="1">
      <alignment horizontal="center"/>
    </xf>
    <xf numFmtId="164" fontId="28" fillId="21" borderId="40" xfId="0" applyNumberFormat="1" applyFont="1" applyFill="1" applyBorder="1" applyAlignment="1" applyProtection="1">
      <alignment horizontal="center"/>
    </xf>
    <xf numFmtId="164" fontId="28" fillId="21" borderId="42" xfId="0" applyNumberFormat="1" applyFont="1" applyFill="1" applyBorder="1" applyAlignment="1" applyProtection="1">
      <alignment horizontal="center"/>
    </xf>
    <xf numFmtId="10" fontId="29" fillId="0" borderId="6" xfId="0" applyNumberFormat="1" applyFont="1" applyFill="1" applyBorder="1" applyAlignment="1" applyProtection="1">
      <alignment horizontal="center" vertical="center" wrapText="1"/>
    </xf>
    <xf numFmtId="10" fontId="29" fillId="0" borderId="12" xfId="0" applyNumberFormat="1" applyFont="1" applyFill="1" applyBorder="1" applyAlignment="1" applyProtection="1">
      <alignment horizontal="center" vertical="center" wrapText="1"/>
    </xf>
    <xf numFmtId="10" fontId="29" fillId="0" borderId="21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10" fontId="22" fillId="0" borderId="6" xfId="0" applyNumberFormat="1" applyFont="1" applyBorder="1" applyAlignment="1" applyProtection="1">
      <alignment horizontal="center" vertical="center" wrapText="1"/>
    </xf>
    <xf numFmtId="10" fontId="22" fillId="0" borderId="12" xfId="0" applyNumberFormat="1" applyFont="1" applyBorder="1" applyAlignment="1" applyProtection="1">
      <alignment horizontal="center" vertical="center" wrapText="1"/>
    </xf>
    <xf numFmtId="10" fontId="22" fillId="0" borderId="21" xfId="0" applyNumberFormat="1" applyFont="1" applyBorder="1" applyAlignment="1" applyProtection="1">
      <alignment horizontal="center" vertical="center" wrapText="1"/>
    </xf>
    <xf numFmtId="0" fontId="22" fillId="16" borderId="9" xfId="0" applyFont="1" applyFill="1" applyBorder="1" applyAlignment="1" applyProtection="1">
      <alignment horizontal="center" vertical="center" wrapText="1"/>
    </xf>
    <xf numFmtId="0" fontId="22" fillId="16" borderId="10" xfId="0" applyFont="1" applyFill="1" applyBorder="1" applyAlignment="1" applyProtection="1">
      <alignment horizontal="center" vertical="center" wrapText="1"/>
    </xf>
    <xf numFmtId="0" fontId="22" fillId="16" borderId="11" xfId="0" applyFont="1" applyFill="1" applyBorder="1" applyAlignment="1" applyProtection="1">
      <alignment horizontal="center" vertical="center" wrapText="1"/>
    </xf>
    <xf numFmtId="0" fontId="22" fillId="17" borderId="14" xfId="0" applyFont="1" applyFill="1" applyBorder="1" applyAlignment="1" applyProtection="1">
      <alignment horizontal="center" vertical="center" wrapText="1"/>
    </xf>
    <xf numFmtId="0" fontId="22" fillId="17" borderId="15" xfId="0" applyFont="1" applyFill="1" applyBorder="1" applyAlignment="1" applyProtection="1">
      <alignment horizontal="center" vertical="center" wrapText="1"/>
    </xf>
    <xf numFmtId="0" fontId="22" fillId="17" borderId="16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/>
  </cellStyles>
  <dxfs count="5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opLeftCell="B1" zoomScale="75" zoomScaleNormal="75" zoomScaleSheetLayoutView="80" workbookViewId="0">
      <selection activeCell="M46" sqref="M4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1.28515625" customWidth="1"/>
    <col min="10" max="10" width="16.140625" customWidth="1"/>
    <col min="11" max="11" width="17.85546875" customWidth="1"/>
    <col min="12" max="12" width="13.7109375" customWidth="1"/>
    <col min="13" max="13" width="23.42578125" style="160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2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46789677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5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1867</v>
      </c>
      <c r="G15" s="18">
        <f>SUM(D15:F15)</f>
        <v>1867</v>
      </c>
      <c r="H15" s="19"/>
      <c r="I15" s="20">
        <f>G15+H15</f>
        <v>1867</v>
      </c>
      <c r="J15" s="15"/>
      <c r="K15" s="16"/>
      <c r="L15" s="17">
        <v>1900</v>
      </c>
      <c r="M15" s="18">
        <f t="shared" ref="M15:M23" si="0">SUM(J15:L15)</f>
        <v>1900</v>
      </c>
      <c r="N15" s="19">
        <v>0</v>
      </c>
      <c r="O15" s="20">
        <f>M15+N15</f>
        <v>1900</v>
      </c>
      <c r="P15" s="15"/>
      <c r="Q15" s="16"/>
      <c r="R15" s="17">
        <v>1119.7</v>
      </c>
      <c r="S15" s="18">
        <f>SUM(P15:R15)</f>
        <v>1119.7</v>
      </c>
      <c r="T15" s="19">
        <v>2.4</v>
      </c>
      <c r="U15" s="20">
        <f>S15+T15</f>
        <v>1122.1000000000001</v>
      </c>
      <c r="V15" s="15"/>
      <c r="W15" s="16"/>
      <c r="X15" s="17">
        <f>1900+90+20</f>
        <v>2010</v>
      </c>
      <c r="Y15" s="18">
        <f>SUM(V15:X15)</f>
        <v>2010</v>
      </c>
      <c r="Z15" s="19">
        <v>4</v>
      </c>
      <c r="AA15" s="20">
        <f>Y15+Z15</f>
        <v>2014</v>
      </c>
      <c r="AB15" s="21">
        <f>(AA15/O15)</f>
        <v>1.06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5897</v>
      </c>
      <c r="E16" s="25"/>
      <c r="F16" s="25"/>
      <c r="G16" s="26">
        <f t="shared" ref="G16:G23" si="1">SUM(D16:F16)</f>
        <v>5897</v>
      </c>
      <c r="H16" s="27"/>
      <c r="I16" s="20">
        <f t="shared" ref="I16:I23" si="2">G16+H16</f>
        <v>5897</v>
      </c>
      <c r="J16" s="24">
        <v>6322</v>
      </c>
      <c r="K16" s="25"/>
      <c r="L16" s="25"/>
      <c r="M16" s="26">
        <f t="shared" si="0"/>
        <v>6322</v>
      </c>
      <c r="N16" s="27"/>
      <c r="O16" s="20">
        <f t="shared" ref="O16:O20" si="3">M16+N16</f>
        <v>6322</v>
      </c>
      <c r="P16" s="24">
        <v>3322</v>
      </c>
      <c r="Q16" s="25"/>
      <c r="R16" s="25"/>
      <c r="S16" s="26">
        <f t="shared" ref="S16:S23" si="4">SUM(P16:R16)</f>
        <v>3322</v>
      </c>
      <c r="T16" s="27"/>
      <c r="U16" s="20">
        <f t="shared" ref="U16:U20" si="5">S16+T16</f>
        <v>3322</v>
      </c>
      <c r="V16" s="24">
        <v>6730</v>
      </c>
      <c r="W16" s="25"/>
      <c r="X16" s="25"/>
      <c r="Y16" s="26">
        <f t="shared" ref="Y16:Y23" si="6">SUM(V16:X16)</f>
        <v>6730</v>
      </c>
      <c r="Z16" s="27"/>
      <c r="AA16" s="20">
        <f t="shared" ref="AA16:AA20" si="7">Y16+Z16</f>
        <v>6730</v>
      </c>
      <c r="AB16" s="21">
        <f t="shared" ref="AB16:AB24" si="8">(AA16/O16)</f>
        <v>1.0645365390699146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f>68+753</f>
        <v>821</v>
      </c>
      <c r="E17" s="30"/>
      <c r="F17" s="30"/>
      <c r="G17" s="26">
        <f t="shared" si="1"/>
        <v>821</v>
      </c>
      <c r="H17" s="31"/>
      <c r="I17" s="20">
        <f t="shared" si="2"/>
        <v>821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997.1</v>
      </c>
      <c r="Q17" s="30"/>
      <c r="R17" s="30"/>
      <c r="S17" s="26">
        <f t="shared" si="4"/>
        <v>997.1</v>
      </c>
      <c r="T17" s="31"/>
      <c r="U17" s="20">
        <f t="shared" si="5"/>
        <v>997.1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40669.4</v>
      </c>
      <c r="F18" s="30"/>
      <c r="G18" s="26">
        <f t="shared" si="1"/>
        <v>40669.4</v>
      </c>
      <c r="H18" s="19"/>
      <c r="I18" s="20">
        <f t="shared" si="2"/>
        <v>40669.4</v>
      </c>
      <c r="J18" s="33"/>
      <c r="K18" s="34">
        <v>44034</v>
      </c>
      <c r="L18" s="30"/>
      <c r="M18" s="26">
        <f t="shared" si="0"/>
        <v>44034</v>
      </c>
      <c r="N18" s="19"/>
      <c r="O18" s="20">
        <f t="shared" si="3"/>
        <v>44034</v>
      </c>
      <c r="P18" s="33"/>
      <c r="Q18" s="34">
        <v>21266.799999999999</v>
      </c>
      <c r="R18" s="30"/>
      <c r="S18" s="26">
        <f t="shared" si="4"/>
        <v>21266.799999999999</v>
      </c>
      <c r="T18" s="19"/>
      <c r="U18" s="20">
        <f t="shared" si="5"/>
        <v>21266.799999999999</v>
      </c>
      <c r="V18" s="33"/>
      <c r="W18" s="34">
        <f>34449+11643+688+781+200+600+202+100+12</f>
        <v>48675</v>
      </c>
      <c r="X18" s="30"/>
      <c r="Y18" s="26">
        <f t="shared" si="6"/>
        <v>48675</v>
      </c>
      <c r="Z18" s="19"/>
      <c r="AA18" s="20">
        <f t="shared" si="7"/>
        <v>48675</v>
      </c>
      <c r="AB18" s="21">
        <f t="shared" si="8"/>
        <v>1.1053958304946179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88.3</v>
      </c>
      <c r="G20" s="26">
        <f t="shared" si="1"/>
        <v>88.3</v>
      </c>
      <c r="H20" s="38"/>
      <c r="I20" s="20">
        <f t="shared" si="2"/>
        <v>88.3</v>
      </c>
      <c r="J20" s="33"/>
      <c r="K20" s="25"/>
      <c r="L20" s="40">
        <v>300</v>
      </c>
      <c r="M20" s="26">
        <f t="shared" si="0"/>
        <v>300</v>
      </c>
      <c r="N20" s="38"/>
      <c r="O20" s="20">
        <f t="shared" si="3"/>
        <v>300</v>
      </c>
      <c r="P20" s="33"/>
      <c r="Q20" s="25"/>
      <c r="R20" s="40">
        <v>12.5</v>
      </c>
      <c r="S20" s="26">
        <f t="shared" si="4"/>
        <v>12.5</v>
      </c>
      <c r="T20" s="38"/>
      <c r="U20" s="20">
        <f t="shared" si="5"/>
        <v>12.5</v>
      </c>
      <c r="V20" s="33"/>
      <c r="W20" s="25"/>
      <c r="X20" s="40">
        <v>100</v>
      </c>
      <c r="Y20" s="26">
        <f t="shared" si="6"/>
        <v>100</v>
      </c>
      <c r="Z20" s="38"/>
      <c r="AA20" s="20">
        <f t="shared" si="7"/>
        <v>100</v>
      </c>
      <c r="AB20" s="21">
        <f t="shared" si="8"/>
        <v>0.33333333333333331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70.599999999999994</v>
      </c>
      <c r="G21" s="26">
        <f t="shared" si="1"/>
        <v>70.599999999999994</v>
      </c>
      <c r="H21" s="42">
        <v>92.1</v>
      </c>
      <c r="I21" s="20">
        <f>G21+H21</f>
        <v>162.69999999999999</v>
      </c>
      <c r="J21" s="33"/>
      <c r="K21" s="25"/>
      <c r="L21" s="40">
        <v>50</v>
      </c>
      <c r="M21" s="26">
        <f t="shared" si="0"/>
        <v>50</v>
      </c>
      <c r="N21" s="42">
        <v>96</v>
      </c>
      <c r="O21" s="20">
        <f>M21+N21</f>
        <v>146</v>
      </c>
      <c r="P21" s="33"/>
      <c r="Q21" s="25"/>
      <c r="R21" s="40">
        <v>49.6</v>
      </c>
      <c r="S21" s="26">
        <f t="shared" si="4"/>
        <v>49.6</v>
      </c>
      <c r="T21" s="42">
        <v>45.7</v>
      </c>
      <c r="U21" s="20">
        <f>S21+T21</f>
        <v>95.300000000000011</v>
      </c>
      <c r="V21" s="33"/>
      <c r="W21" s="25"/>
      <c r="X21" s="40"/>
      <c r="Y21" s="26">
        <f t="shared" si="6"/>
        <v>0</v>
      </c>
      <c r="Z21" s="42"/>
      <c r="AA21" s="20">
        <f>Y21+Z21</f>
        <v>0</v>
      </c>
      <c r="AB21" s="21">
        <f t="shared" si="8"/>
        <v>0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>
        <v>92.1</v>
      </c>
      <c r="I22" s="20">
        <f t="shared" si="2"/>
        <v>92.1</v>
      </c>
      <c r="J22" s="33"/>
      <c r="K22" s="25"/>
      <c r="L22" s="40"/>
      <c r="M22" s="26">
        <f t="shared" si="0"/>
        <v>0</v>
      </c>
      <c r="N22" s="42"/>
      <c r="O22" s="20">
        <f t="shared" ref="O22:O23" si="9">M22+N22</f>
        <v>0</v>
      </c>
      <c r="P22" s="33"/>
      <c r="Q22" s="25"/>
      <c r="R22" s="40"/>
      <c r="S22" s="26">
        <f t="shared" si="4"/>
        <v>0</v>
      </c>
      <c r="T22" s="42"/>
      <c r="U22" s="20">
        <f t="shared" ref="U22:U23" si="10">S22+T22</f>
        <v>0</v>
      </c>
      <c r="V22" s="33"/>
      <c r="W22" s="25"/>
      <c r="X22" s="40"/>
      <c r="Y22" s="26">
        <f t="shared" si="6"/>
        <v>0</v>
      </c>
      <c r="Z22" s="42">
        <v>90</v>
      </c>
      <c r="AA22" s="20">
        <f t="shared" ref="AA22:AA23" si="11">Y22+Z22</f>
        <v>90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6718</v>
      </c>
      <c r="E24" s="55">
        <f>SUM(E15:E21)</f>
        <v>40669.4</v>
      </c>
      <c r="F24" s="55">
        <f>SUM(F15:F21)</f>
        <v>2025.8999999999999</v>
      </c>
      <c r="G24" s="56">
        <f>SUM(D24:F24)</f>
        <v>49413.3</v>
      </c>
      <c r="H24" s="57">
        <f>SUM(H15:H21)</f>
        <v>92.1</v>
      </c>
      <c r="I24" s="57">
        <f>SUM(I15:I21)</f>
        <v>49505.4</v>
      </c>
      <c r="J24" s="54">
        <f>SUM(J15:J21)</f>
        <v>6322</v>
      </c>
      <c r="K24" s="55">
        <f>SUM(K15:K21)</f>
        <v>44034</v>
      </c>
      <c r="L24" s="55">
        <f>SUM(L15:L21)</f>
        <v>2250</v>
      </c>
      <c r="M24" s="56">
        <f>SUM(J24:L24)</f>
        <v>52606</v>
      </c>
      <c r="N24" s="57">
        <f>SUM(N15:N21)</f>
        <v>96</v>
      </c>
      <c r="O24" s="57">
        <f>SUM(O15:O21)</f>
        <v>52702</v>
      </c>
      <c r="P24" s="54">
        <f>SUM(P15:P21)</f>
        <v>4319.1000000000004</v>
      </c>
      <c r="Q24" s="55">
        <f>SUM(Q15:Q21)</f>
        <v>21266.799999999999</v>
      </c>
      <c r="R24" s="55">
        <f>SUM(R15:R21)</f>
        <v>1181.8</v>
      </c>
      <c r="S24" s="56">
        <f>SUM(P24:R24)</f>
        <v>26767.7</v>
      </c>
      <c r="T24" s="57">
        <f>SUM(T15:T21)</f>
        <v>48.1</v>
      </c>
      <c r="U24" s="57">
        <f>SUM(U15:U21)</f>
        <v>26815.8</v>
      </c>
      <c r="V24" s="54">
        <f>SUM(V15:V21)</f>
        <v>6730</v>
      </c>
      <c r="W24" s="55">
        <f>SUM(W15:W21)</f>
        <v>48675</v>
      </c>
      <c r="X24" s="55">
        <f>SUM(X15:X21)</f>
        <v>2110</v>
      </c>
      <c r="Y24" s="56">
        <f>SUM(V24:X24)</f>
        <v>57515</v>
      </c>
      <c r="Z24" s="57">
        <f>SUM(Z15:Z21)</f>
        <v>4</v>
      </c>
      <c r="AA24" s="57">
        <f>SUM(AA15:AA21)</f>
        <v>57519</v>
      </c>
      <c r="AB24" s="58">
        <f t="shared" si="8"/>
        <v>1.0914007058555653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291.3</v>
      </c>
      <c r="E28" s="65"/>
      <c r="F28" s="65"/>
      <c r="G28" s="66">
        <f>SUM(D28:F28)</f>
        <v>291.3</v>
      </c>
      <c r="H28" s="66"/>
      <c r="I28" s="67">
        <f>G28+H28</f>
        <v>291.3</v>
      </c>
      <c r="J28" s="68">
        <v>400</v>
      </c>
      <c r="K28" s="65"/>
      <c r="L28" s="65"/>
      <c r="M28" s="66">
        <f>SUM(J28:L28)</f>
        <v>400</v>
      </c>
      <c r="N28" s="66"/>
      <c r="O28" s="67">
        <f>M28+N28</f>
        <v>400</v>
      </c>
      <c r="P28" s="68">
        <v>63.7</v>
      </c>
      <c r="Q28" s="65"/>
      <c r="R28" s="65"/>
      <c r="S28" s="66">
        <f>SUM(P28:R28)</f>
        <v>63.7</v>
      </c>
      <c r="T28" s="66"/>
      <c r="U28" s="67">
        <f>S28+T28</f>
        <v>63.7</v>
      </c>
      <c r="V28" s="68">
        <v>500</v>
      </c>
      <c r="W28" s="65"/>
      <c r="X28" s="65">
        <v>100</v>
      </c>
      <c r="Y28" s="66">
        <f>SUM(V28:X28)</f>
        <v>600</v>
      </c>
      <c r="Z28" s="66"/>
      <c r="AA28" s="67">
        <f>Y28+Z28</f>
        <v>600</v>
      </c>
      <c r="AB28" s="21">
        <f t="shared" ref="AB28:AB41" si="12">(AA28/O28)</f>
        <v>1.5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445.9</v>
      </c>
      <c r="E29" s="70">
        <v>483.8</v>
      </c>
      <c r="F29" s="70">
        <v>1965.4</v>
      </c>
      <c r="G29" s="71">
        <f t="shared" ref="G29:G38" si="13">SUM(D29:F29)</f>
        <v>2895.1000000000004</v>
      </c>
      <c r="H29" s="72"/>
      <c r="I29" s="20">
        <f t="shared" ref="I29:I38" si="14">G29+H29</f>
        <v>2895.1000000000004</v>
      </c>
      <c r="J29" s="73">
        <v>500</v>
      </c>
      <c r="K29" s="70">
        <v>300</v>
      </c>
      <c r="L29" s="70">
        <v>2000</v>
      </c>
      <c r="M29" s="71">
        <f t="shared" ref="M29:M38" si="15">SUM(J29:L29)</f>
        <v>2800</v>
      </c>
      <c r="N29" s="72">
        <v>86</v>
      </c>
      <c r="O29" s="20">
        <f t="shared" ref="O29:O38" si="16">M29+N29</f>
        <v>2886</v>
      </c>
      <c r="P29" s="73">
        <v>441.4</v>
      </c>
      <c r="Q29" s="70">
        <v>26</v>
      </c>
      <c r="R29" s="70">
        <v>1084.7</v>
      </c>
      <c r="S29" s="71">
        <f t="shared" ref="S29:S38" si="17">SUM(P29:R29)</f>
        <v>1552.1</v>
      </c>
      <c r="T29" s="72"/>
      <c r="U29" s="20">
        <f t="shared" ref="U29:U38" si="18">S29+T29</f>
        <v>1552.1</v>
      </c>
      <c r="V29" s="73">
        <v>650</v>
      </c>
      <c r="W29" s="70">
        <v>550</v>
      </c>
      <c r="X29" s="70">
        <v>2000</v>
      </c>
      <c r="Y29" s="71">
        <f t="shared" ref="Y29:Y38" si="19">SUM(V29:X29)</f>
        <v>3200</v>
      </c>
      <c r="Z29" s="72"/>
      <c r="AA29" s="20">
        <f t="shared" ref="AA29:AA38" si="20">Y29+Z29</f>
        <v>3200</v>
      </c>
      <c r="AB29" s="21">
        <f t="shared" si="12"/>
        <v>1.1088011088011087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2274.5</v>
      </c>
      <c r="E30" s="74"/>
      <c r="F30" s="74" t="s">
        <v>56</v>
      </c>
      <c r="G30" s="71">
        <f t="shared" si="13"/>
        <v>2274.5</v>
      </c>
      <c r="H30" s="71">
        <v>8.9</v>
      </c>
      <c r="I30" s="20">
        <f t="shared" si="14"/>
        <v>2283.4</v>
      </c>
      <c r="J30" s="75">
        <v>2400</v>
      </c>
      <c r="K30" s="74"/>
      <c r="L30" s="74"/>
      <c r="M30" s="71">
        <f t="shared" si="15"/>
        <v>2400</v>
      </c>
      <c r="N30" s="71">
        <v>5</v>
      </c>
      <c r="O30" s="20">
        <f t="shared" si="16"/>
        <v>2405</v>
      </c>
      <c r="P30" s="75">
        <v>1524.8</v>
      </c>
      <c r="Q30" s="74"/>
      <c r="R30" s="74"/>
      <c r="S30" s="71">
        <f t="shared" si="17"/>
        <v>1524.8</v>
      </c>
      <c r="T30" s="71"/>
      <c r="U30" s="20">
        <f t="shared" si="18"/>
        <v>1524.8</v>
      </c>
      <c r="V30" s="75">
        <v>2550</v>
      </c>
      <c r="W30" s="74"/>
      <c r="X30" s="74"/>
      <c r="Y30" s="71">
        <f t="shared" si="19"/>
        <v>2550</v>
      </c>
      <c r="Z30" s="71">
        <v>4</v>
      </c>
      <c r="AA30" s="20">
        <f t="shared" si="20"/>
        <v>2554</v>
      </c>
      <c r="AB30" s="21">
        <f t="shared" si="12"/>
        <v>1.0619542619542619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538.6</v>
      </c>
      <c r="E31" s="74">
        <v>33</v>
      </c>
      <c r="F31" s="74">
        <v>164.8</v>
      </c>
      <c r="G31" s="71">
        <f t="shared" si="13"/>
        <v>736.40000000000009</v>
      </c>
      <c r="H31" s="71"/>
      <c r="I31" s="20">
        <f t="shared" si="14"/>
        <v>736.40000000000009</v>
      </c>
      <c r="J31" s="75">
        <v>800</v>
      </c>
      <c r="K31" s="74"/>
      <c r="L31" s="74"/>
      <c r="M31" s="71">
        <f t="shared" si="15"/>
        <v>800</v>
      </c>
      <c r="N31" s="71">
        <v>5</v>
      </c>
      <c r="O31" s="20">
        <f t="shared" si="16"/>
        <v>805</v>
      </c>
      <c r="P31" s="75">
        <v>448.2</v>
      </c>
      <c r="Q31" s="74">
        <v>34.6</v>
      </c>
      <c r="R31" s="74">
        <v>14.6</v>
      </c>
      <c r="S31" s="71">
        <f t="shared" si="17"/>
        <v>497.40000000000003</v>
      </c>
      <c r="T31" s="71"/>
      <c r="U31" s="20">
        <f t="shared" si="18"/>
        <v>497.40000000000003</v>
      </c>
      <c r="V31" s="75">
        <v>900</v>
      </c>
      <c r="W31" s="74">
        <v>70</v>
      </c>
      <c r="X31" s="74">
        <v>10</v>
      </c>
      <c r="Y31" s="71">
        <f t="shared" si="19"/>
        <v>980</v>
      </c>
      <c r="Z31" s="71"/>
      <c r="AA31" s="20">
        <f t="shared" si="20"/>
        <v>980</v>
      </c>
      <c r="AB31" s="21">
        <f t="shared" si="12"/>
        <v>1.2173913043478262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f>D33+D34</f>
        <v>580.90000000000009</v>
      </c>
      <c r="E32" s="74">
        <f>E33+E34</f>
        <v>29281.899999999998</v>
      </c>
      <c r="F32" s="74"/>
      <c r="G32" s="71">
        <f t="shared" si="13"/>
        <v>29862.799999999999</v>
      </c>
      <c r="H32" s="71"/>
      <c r="I32" s="20">
        <f t="shared" si="14"/>
        <v>29862.799999999999</v>
      </c>
      <c r="J32" s="77"/>
      <c r="K32" s="74">
        <v>31945</v>
      </c>
      <c r="L32" s="74"/>
      <c r="M32" s="71">
        <f t="shared" si="15"/>
        <v>31945</v>
      </c>
      <c r="N32" s="71"/>
      <c r="O32" s="20">
        <f t="shared" si="16"/>
        <v>31945</v>
      </c>
      <c r="P32" s="77">
        <v>178.8</v>
      </c>
      <c r="Q32" s="74">
        <v>15545.7</v>
      </c>
      <c r="R32" s="74"/>
      <c r="S32" s="71">
        <f t="shared" si="17"/>
        <v>15724.5</v>
      </c>
      <c r="T32" s="71"/>
      <c r="U32" s="20">
        <f t="shared" si="18"/>
        <v>15724.5</v>
      </c>
      <c r="V32" s="77">
        <v>25.2</v>
      </c>
      <c r="W32" s="74">
        <f>W33+W34</f>
        <v>35349</v>
      </c>
      <c r="X32" s="74"/>
      <c r="Y32" s="71">
        <f t="shared" si="19"/>
        <v>35374.199999999997</v>
      </c>
      <c r="Z32" s="71"/>
      <c r="AA32" s="20">
        <f t="shared" si="20"/>
        <v>35374.199999999997</v>
      </c>
      <c r="AB32" s="21">
        <f t="shared" si="12"/>
        <v>1.1073470026608232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555.70000000000005</v>
      </c>
      <c r="E33" s="74">
        <v>28785.1</v>
      </c>
      <c r="F33" s="74"/>
      <c r="G33" s="71">
        <f t="shared" si="13"/>
        <v>29340.799999999999</v>
      </c>
      <c r="H33" s="71"/>
      <c r="I33" s="20">
        <f t="shared" si="14"/>
        <v>29340.799999999999</v>
      </c>
      <c r="J33" s="77"/>
      <c r="K33" s="74">
        <v>31446</v>
      </c>
      <c r="L33" s="74"/>
      <c r="M33" s="71">
        <f t="shared" si="15"/>
        <v>31446</v>
      </c>
      <c r="N33" s="71"/>
      <c r="O33" s="20">
        <f t="shared" si="16"/>
        <v>31446</v>
      </c>
      <c r="P33" s="77">
        <v>166.2</v>
      </c>
      <c r="Q33" s="74">
        <v>15219.7</v>
      </c>
      <c r="R33" s="74"/>
      <c r="S33" s="71">
        <f t="shared" si="17"/>
        <v>15385.900000000001</v>
      </c>
      <c r="T33" s="71"/>
      <c r="U33" s="20">
        <f t="shared" si="18"/>
        <v>15385.900000000001</v>
      </c>
      <c r="V33" s="77"/>
      <c r="W33" s="74">
        <f>34449+600</f>
        <v>35049</v>
      </c>
      <c r="X33" s="74"/>
      <c r="Y33" s="71">
        <f t="shared" si="19"/>
        <v>35049</v>
      </c>
      <c r="Z33" s="71"/>
      <c r="AA33" s="20">
        <f t="shared" si="20"/>
        <v>35049</v>
      </c>
      <c r="AB33" s="21">
        <f t="shared" si="12"/>
        <v>1.1145773707307767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>
        <v>25.2</v>
      </c>
      <c r="E34" s="74">
        <v>496.8</v>
      </c>
      <c r="F34" s="74"/>
      <c r="G34" s="71">
        <f t="shared" si="13"/>
        <v>522</v>
      </c>
      <c r="H34" s="71"/>
      <c r="I34" s="20">
        <f t="shared" si="14"/>
        <v>522</v>
      </c>
      <c r="J34" s="77"/>
      <c r="K34" s="74">
        <v>499</v>
      </c>
      <c r="L34" s="74"/>
      <c r="M34" s="71">
        <f>SUM(J34:L34)</f>
        <v>499</v>
      </c>
      <c r="N34" s="71"/>
      <c r="O34" s="20">
        <f t="shared" si="16"/>
        <v>499</v>
      </c>
      <c r="P34" s="77">
        <v>12.6</v>
      </c>
      <c r="Q34" s="74">
        <v>326</v>
      </c>
      <c r="R34" s="74"/>
      <c r="S34" s="71">
        <f t="shared" si="17"/>
        <v>338.6</v>
      </c>
      <c r="T34" s="71"/>
      <c r="U34" s="20">
        <f t="shared" si="18"/>
        <v>338.6</v>
      </c>
      <c r="V34" s="77">
        <v>25.2</v>
      </c>
      <c r="W34" s="74">
        <v>300</v>
      </c>
      <c r="X34" s="74"/>
      <c r="Y34" s="71">
        <f t="shared" si="19"/>
        <v>325.2</v>
      </c>
      <c r="Z34" s="71"/>
      <c r="AA34" s="20">
        <f t="shared" si="20"/>
        <v>325.2</v>
      </c>
      <c r="AB34" s="21">
        <f t="shared" si="12"/>
        <v>0.65170340681362726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188.9</v>
      </c>
      <c r="E35" s="74">
        <v>9791.7000000000007</v>
      </c>
      <c r="F35" s="74"/>
      <c r="G35" s="71">
        <f t="shared" si="13"/>
        <v>9980.6</v>
      </c>
      <c r="H35" s="71"/>
      <c r="I35" s="20">
        <f t="shared" si="14"/>
        <v>9980.6</v>
      </c>
      <c r="J35" s="77"/>
      <c r="K35" s="74"/>
      <c r="L35" s="74"/>
      <c r="M35" s="71">
        <f t="shared" si="15"/>
        <v>0</v>
      </c>
      <c r="N35" s="71"/>
      <c r="O35" s="20">
        <f t="shared" si="16"/>
        <v>0</v>
      </c>
      <c r="P35" s="77">
        <v>56.5</v>
      </c>
      <c r="Q35" s="74">
        <v>5178.1000000000004</v>
      </c>
      <c r="R35" s="74"/>
      <c r="S35" s="71">
        <f t="shared" si="17"/>
        <v>5234.6000000000004</v>
      </c>
      <c r="T35" s="71"/>
      <c r="U35" s="20">
        <f t="shared" si="18"/>
        <v>5234.6000000000004</v>
      </c>
      <c r="V35" s="77"/>
      <c r="W35" s="74">
        <f>11643+202</f>
        <v>11845</v>
      </c>
      <c r="X35" s="74"/>
      <c r="Y35" s="71">
        <f t="shared" si="19"/>
        <v>11845</v>
      </c>
      <c r="Z35" s="71"/>
      <c r="AA35" s="20">
        <f t="shared" si="20"/>
        <v>11845</v>
      </c>
      <c r="AB35" s="21" t="e">
        <f t="shared" si="12"/>
        <v>#DIV/0!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/>
      <c r="G36" s="71">
        <f t="shared" si="13"/>
        <v>0</v>
      </c>
      <c r="H36" s="71"/>
      <c r="I36" s="20">
        <f t="shared" si="14"/>
        <v>0</v>
      </c>
      <c r="J36" s="75"/>
      <c r="K36" s="74">
        <v>10692</v>
      </c>
      <c r="L36" s="74"/>
      <c r="M36" s="71">
        <f t="shared" si="15"/>
        <v>10692</v>
      </c>
      <c r="N36" s="71"/>
      <c r="O36" s="20">
        <f t="shared" si="16"/>
        <v>10692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75"/>
      <c r="W36" s="74"/>
      <c r="X36" s="74"/>
      <c r="Y36" s="71">
        <f t="shared" si="19"/>
        <v>0</v>
      </c>
      <c r="Z36" s="71"/>
      <c r="AA36" s="20">
        <f t="shared" si="20"/>
        <v>0</v>
      </c>
      <c r="AB36" s="21">
        <f t="shared" si="12"/>
        <v>0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1455.7</v>
      </c>
      <c r="E37" s="74"/>
      <c r="F37" s="74"/>
      <c r="G37" s="71">
        <f t="shared" si="13"/>
        <v>1455.7</v>
      </c>
      <c r="H37" s="71"/>
      <c r="I37" s="20">
        <f t="shared" si="14"/>
        <v>1455.7</v>
      </c>
      <c r="J37" s="75">
        <v>1631.8</v>
      </c>
      <c r="K37" s="74"/>
      <c r="L37" s="74"/>
      <c r="M37" s="71">
        <f t="shared" si="15"/>
        <v>1631.8</v>
      </c>
      <c r="N37" s="71"/>
      <c r="O37" s="20">
        <f t="shared" si="16"/>
        <v>1631.8</v>
      </c>
      <c r="P37" s="75">
        <v>800.5</v>
      </c>
      <c r="Q37" s="74"/>
      <c r="R37" s="74"/>
      <c r="S37" s="71">
        <f t="shared" si="17"/>
        <v>800.5</v>
      </c>
      <c r="T37" s="71"/>
      <c r="U37" s="20">
        <f t="shared" si="18"/>
        <v>800.5</v>
      </c>
      <c r="V37" s="75">
        <v>1454</v>
      </c>
      <c r="W37" s="74"/>
      <c r="X37" s="74"/>
      <c r="Y37" s="71">
        <f t="shared" si="19"/>
        <v>1454</v>
      </c>
      <c r="Z37" s="71"/>
      <c r="AA37" s="20">
        <f t="shared" si="20"/>
        <v>1454</v>
      </c>
      <c r="AB37" s="21">
        <f t="shared" si="12"/>
        <v>0.89104056869714432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942.2</v>
      </c>
      <c r="E38" s="81">
        <v>972</v>
      </c>
      <c r="F38" s="81">
        <v>3.4</v>
      </c>
      <c r="G38" s="71">
        <f t="shared" si="13"/>
        <v>1917.6000000000001</v>
      </c>
      <c r="H38" s="82"/>
      <c r="I38" s="50">
        <f t="shared" si="14"/>
        <v>1917.6000000000001</v>
      </c>
      <c r="J38" s="83">
        <v>590.20000000000005</v>
      </c>
      <c r="K38" s="81">
        <v>1097</v>
      </c>
      <c r="L38" s="81">
        <v>250</v>
      </c>
      <c r="M38" s="82">
        <f t="shared" si="15"/>
        <v>1937.2</v>
      </c>
      <c r="N38" s="82"/>
      <c r="O38" s="50">
        <f t="shared" si="16"/>
        <v>1937.2</v>
      </c>
      <c r="P38" s="83">
        <v>266</v>
      </c>
      <c r="Q38" s="81">
        <v>506.7</v>
      </c>
      <c r="R38" s="81">
        <v>9.6</v>
      </c>
      <c r="S38" s="82">
        <f t="shared" si="17"/>
        <v>782.30000000000007</v>
      </c>
      <c r="T38" s="82"/>
      <c r="U38" s="50">
        <f t="shared" si="18"/>
        <v>782.30000000000007</v>
      </c>
      <c r="V38" s="83">
        <v>650.79999999999995</v>
      </c>
      <c r="W38" s="81">
        <v>861</v>
      </c>
      <c r="X38" s="81"/>
      <c r="Y38" s="82">
        <f t="shared" si="19"/>
        <v>1511.8</v>
      </c>
      <c r="Z38" s="82"/>
      <c r="AA38" s="50">
        <f t="shared" si="20"/>
        <v>1511.8</v>
      </c>
      <c r="AB38" s="51">
        <f t="shared" si="12"/>
        <v>0.78040470782572779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6718</v>
      </c>
      <c r="E39" s="85">
        <f>SUM(E35:E38)+SUM(E28:E32)</f>
        <v>40562.399999999994</v>
      </c>
      <c r="F39" s="85">
        <f>SUM(F35:F38)+SUM(F28:F32)</f>
        <v>2133.6000000000004</v>
      </c>
      <c r="G39" s="86">
        <f>SUM(D39:F39)</f>
        <v>49413.999999999993</v>
      </c>
      <c r="H39" s="87">
        <f>SUM(H28:H32)+SUM(H35:H38)</f>
        <v>8.9</v>
      </c>
      <c r="I39" s="88">
        <f>SUM(I35:I38)+SUM(I28:I32)</f>
        <v>49422.9</v>
      </c>
      <c r="J39" s="85">
        <f>SUM(J35:J38)+SUM(J28:J32)</f>
        <v>6322</v>
      </c>
      <c r="K39" s="85">
        <f>SUM(K35:K38)+SUM(K28:K32)</f>
        <v>44034</v>
      </c>
      <c r="L39" s="85">
        <f>SUM(L35:L38)+SUM(L28:L32)</f>
        <v>2250</v>
      </c>
      <c r="M39" s="86">
        <f>SUM(J39:L39)</f>
        <v>52606</v>
      </c>
      <c r="N39" s="87">
        <f>SUM(N28:N32)+SUM(N35:N38)</f>
        <v>96</v>
      </c>
      <c r="O39" s="88">
        <f>SUM(O35:O38)+SUM(O28:O32)</f>
        <v>52702</v>
      </c>
      <c r="P39" s="85">
        <f>SUM(P35:P38)+SUM(P28:P32)</f>
        <v>3779.9</v>
      </c>
      <c r="Q39" s="85">
        <f>SUM(Q35:Q38)+SUM(Q28:Q32)</f>
        <v>21291.100000000002</v>
      </c>
      <c r="R39" s="85">
        <f>SUM(R35:R38)+SUM(R28:R32)</f>
        <v>1108.8999999999999</v>
      </c>
      <c r="S39" s="86">
        <f>SUM(P39:R39)</f>
        <v>26179.900000000005</v>
      </c>
      <c r="T39" s="87">
        <f>SUM(T28:T32)+SUM(T35:T38)</f>
        <v>0</v>
      </c>
      <c r="U39" s="88">
        <f>SUM(U35:U38)+SUM(U28:U32)</f>
        <v>26179.9</v>
      </c>
      <c r="V39" s="85">
        <f>SUM(V35:V38)+SUM(V28:V32)</f>
        <v>6730</v>
      </c>
      <c r="W39" s="85">
        <f>SUM(W35:W38)+SUM(W28:W32)</f>
        <v>48675</v>
      </c>
      <c r="X39" s="85">
        <f>SUM(X35:X38)+SUM(X28:X32)</f>
        <v>2110</v>
      </c>
      <c r="Y39" s="86">
        <f>SUM(V39:X39)</f>
        <v>57515</v>
      </c>
      <c r="Z39" s="87">
        <f>SUM(Z28:Z32)+SUM(Z35:Z38)</f>
        <v>4</v>
      </c>
      <c r="AA39" s="88">
        <f>SUM(AA35:AA38)+SUM(AA28:AA32)</f>
        <v>57519</v>
      </c>
      <c r="AB39" s="89">
        <f t="shared" si="12"/>
        <v>1.0914007058555653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0</v>
      </c>
      <c r="E40" s="92">
        <f t="shared" si="21"/>
        <v>107.00000000000728</v>
      </c>
      <c r="F40" s="92">
        <f t="shared" si="21"/>
        <v>-107.7000000000005</v>
      </c>
      <c r="G40" s="93">
        <f t="shared" si="21"/>
        <v>-0.69999999998981366</v>
      </c>
      <c r="H40" s="93">
        <f t="shared" si="21"/>
        <v>83.199999999999989</v>
      </c>
      <c r="I40" s="94">
        <f t="shared" si="21"/>
        <v>82.5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539.20000000000027</v>
      </c>
      <c r="Q40" s="92">
        <f t="shared" si="21"/>
        <v>-24.30000000000291</v>
      </c>
      <c r="R40" s="92">
        <f t="shared" si="21"/>
        <v>72.900000000000091</v>
      </c>
      <c r="S40" s="93">
        <f t="shared" si="21"/>
        <v>587.79999999999563</v>
      </c>
      <c r="T40" s="93">
        <f t="shared" si="21"/>
        <v>48.1</v>
      </c>
      <c r="U40" s="94">
        <f t="shared" si="21"/>
        <v>635.89999999999782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-5814.5</v>
      </c>
      <c r="J41" s="98"/>
      <c r="K41" s="99"/>
      <c r="L41" s="99"/>
      <c r="M41" s="100"/>
      <c r="N41" s="103"/>
      <c r="O41" s="102">
        <f>O40-J16</f>
        <v>-6322</v>
      </c>
      <c r="P41" s="98"/>
      <c r="Q41" s="99"/>
      <c r="R41" s="99"/>
      <c r="S41" s="100"/>
      <c r="T41" s="103"/>
      <c r="U41" s="102">
        <f>U40-P16</f>
        <v>-2686.1000000000022</v>
      </c>
      <c r="V41" s="98"/>
      <c r="W41" s="99"/>
      <c r="X41" s="99"/>
      <c r="Y41" s="100"/>
      <c r="Z41" s="103"/>
      <c r="AA41" s="102">
        <f>AA40-V16</f>
        <v>-6730</v>
      </c>
      <c r="AB41" s="21">
        <f t="shared" si="12"/>
        <v>1.0645365390699146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982.7</v>
      </c>
      <c r="E44" s="117">
        <v>982.7</v>
      </c>
      <c r="F44" s="118"/>
      <c r="G44" s="108"/>
      <c r="H44" s="108"/>
      <c r="I44" s="115"/>
      <c r="J44" s="116">
        <v>1207.2</v>
      </c>
      <c r="K44" s="117">
        <v>1207.2</v>
      </c>
      <c r="L44" s="118">
        <v>0</v>
      </c>
      <c r="M44" s="119"/>
      <c r="N44" s="119"/>
      <c r="O44" s="119"/>
      <c r="P44" s="116">
        <v>603.5</v>
      </c>
      <c r="Q44" s="117">
        <v>603.5</v>
      </c>
      <c r="R44" s="118">
        <v>0</v>
      </c>
      <c r="S44" s="3"/>
      <c r="T44" s="3"/>
      <c r="U44" s="3"/>
      <c r="V44" s="116">
        <v>1207</v>
      </c>
      <c r="W44" s="117">
        <v>1207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D50+E50-F50</f>
        <v>0</v>
      </c>
      <c r="H50" s="108"/>
      <c r="I50" s="3"/>
      <c r="J50" s="129"/>
      <c r="K50" s="129"/>
      <c r="L50" s="129"/>
      <c r="M50" s="130">
        <f>J50+K50-L50</f>
        <v>0</v>
      </c>
      <c r="N50" s="3"/>
      <c r="O50" s="3"/>
      <c r="P50" s="129"/>
      <c r="Q50" s="129"/>
      <c r="R50" s="129"/>
      <c r="S50" s="130">
        <f>P50+Q50-R50</f>
        <v>0</v>
      </c>
      <c r="T50" s="3"/>
      <c r="U50" s="3"/>
      <c r="V50" s="129"/>
      <c r="W50" s="129"/>
      <c r="X50" s="129"/>
      <c r="Y50" s="13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1348.9</v>
      </c>
      <c r="E51" s="129">
        <v>762.6</v>
      </c>
      <c r="F51" s="129">
        <v>1030.7</v>
      </c>
      <c r="G51" s="130">
        <f t="shared" ref="G51:G54" si="22">D51+E51-F51</f>
        <v>1080.8</v>
      </c>
      <c r="H51" s="108"/>
      <c r="I51" s="3"/>
      <c r="J51" s="129">
        <f>G51</f>
        <v>1080.8</v>
      </c>
      <c r="K51" s="129">
        <v>1517.3</v>
      </c>
      <c r="L51" s="129">
        <v>778</v>
      </c>
      <c r="M51" s="130">
        <f t="shared" ref="M51:M54" si="23">J51+K51-L51</f>
        <v>1820.1</v>
      </c>
      <c r="N51" s="3"/>
      <c r="O51" s="3"/>
      <c r="P51" s="129">
        <f>G51</f>
        <v>1080.8</v>
      </c>
      <c r="Q51" s="129">
        <v>77.8</v>
      </c>
      <c r="R51" s="129">
        <v>412.6</v>
      </c>
      <c r="S51" s="130">
        <f t="shared" ref="S51:S54" si="24">P51+Q51-R51</f>
        <v>745.99999999999989</v>
      </c>
      <c r="T51" s="3"/>
      <c r="U51" s="3"/>
      <c r="V51" s="129">
        <v>746</v>
      </c>
      <c r="W51" s="129">
        <v>1484</v>
      </c>
      <c r="X51" s="129">
        <v>964</v>
      </c>
      <c r="Y51" s="130">
        <f t="shared" ref="Y51:Y54" si="25">V51+W51-X51</f>
        <v>1266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487.7</v>
      </c>
      <c r="E52" s="129">
        <v>1455.7</v>
      </c>
      <c r="F52" s="129">
        <v>1155.8</v>
      </c>
      <c r="G52" s="130">
        <f t="shared" si="22"/>
        <v>787.60000000000014</v>
      </c>
      <c r="H52" s="108"/>
      <c r="I52" s="3"/>
      <c r="J52" s="129">
        <f>G52</f>
        <v>787.60000000000014</v>
      </c>
      <c r="K52" s="129">
        <v>1585.7</v>
      </c>
      <c r="L52" s="129">
        <v>1864</v>
      </c>
      <c r="M52" s="130">
        <f t="shared" si="23"/>
        <v>509.30000000000018</v>
      </c>
      <c r="N52" s="3"/>
      <c r="O52" s="3"/>
      <c r="P52" s="129">
        <f>G52</f>
        <v>787.60000000000014</v>
      </c>
      <c r="Q52" s="129">
        <v>800.5</v>
      </c>
      <c r="R52" s="129">
        <v>603.5</v>
      </c>
      <c r="S52" s="130">
        <f t="shared" si="24"/>
        <v>984.60000000000014</v>
      </c>
      <c r="T52" s="3"/>
      <c r="U52" s="3"/>
      <c r="V52" s="129">
        <v>984.6</v>
      </c>
      <c r="W52" s="129">
        <v>1454</v>
      </c>
      <c r="X52" s="129">
        <f>750+1207</f>
        <v>1957</v>
      </c>
      <c r="Y52" s="130">
        <f t="shared" si="25"/>
        <v>481.59999999999991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180.9</v>
      </c>
      <c r="E53" s="129">
        <v>20</v>
      </c>
      <c r="F53" s="129">
        <v>2</v>
      </c>
      <c r="G53" s="130">
        <f t="shared" si="22"/>
        <v>198.9</v>
      </c>
      <c r="H53" s="108"/>
      <c r="I53" s="3"/>
      <c r="J53" s="129">
        <f>G53</f>
        <v>198.9</v>
      </c>
      <c r="K53" s="129">
        <v>40</v>
      </c>
      <c r="L53" s="129">
        <v>10</v>
      </c>
      <c r="M53" s="130">
        <f t="shared" si="23"/>
        <v>228.9</v>
      </c>
      <c r="N53" s="3"/>
      <c r="O53" s="3"/>
      <c r="P53" s="129">
        <f>G53</f>
        <v>198.9</v>
      </c>
      <c r="Q53" s="129">
        <v>40</v>
      </c>
      <c r="R53" s="129">
        <v>0</v>
      </c>
      <c r="S53" s="130">
        <f t="shared" si="24"/>
        <v>238.9</v>
      </c>
      <c r="T53" s="3"/>
      <c r="U53" s="3"/>
      <c r="V53" s="129">
        <v>238.9</v>
      </c>
      <c r="W53" s="129">
        <v>10</v>
      </c>
      <c r="X53" s="129">
        <v>50</v>
      </c>
      <c r="Y53" s="130">
        <f t="shared" si="25"/>
        <v>198.9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384.45</v>
      </c>
      <c r="E54" s="129">
        <v>588.9</v>
      </c>
      <c r="F54" s="129">
        <v>396.1</v>
      </c>
      <c r="G54" s="130">
        <f t="shared" si="22"/>
        <v>577.24999999999989</v>
      </c>
      <c r="H54" s="108"/>
      <c r="I54" s="3"/>
      <c r="J54" s="129">
        <f>G54</f>
        <v>577.24999999999989</v>
      </c>
      <c r="K54" s="129">
        <v>600</v>
      </c>
      <c r="L54" s="129">
        <v>700</v>
      </c>
      <c r="M54" s="130">
        <f t="shared" si="23"/>
        <v>477.25</v>
      </c>
      <c r="N54" s="3"/>
      <c r="O54" s="3"/>
      <c r="P54" s="129">
        <f>G54</f>
        <v>577.24999999999989</v>
      </c>
      <c r="Q54" s="129">
        <v>308.8</v>
      </c>
      <c r="R54" s="129">
        <v>179.1</v>
      </c>
      <c r="S54" s="130">
        <f t="shared" si="24"/>
        <v>706.94999999999993</v>
      </c>
      <c r="T54" s="3"/>
      <c r="U54" s="3"/>
      <c r="V54" s="129">
        <v>707</v>
      </c>
      <c r="W54" s="129">
        <v>700</v>
      </c>
      <c r="X54" s="129">
        <v>750</v>
      </c>
      <c r="Y54" s="130">
        <f t="shared" si="25"/>
        <v>657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83</v>
      </c>
      <c r="E57" s="132">
        <v>85</v>
      </c>
      <c r="F57" s="108"/>
      <c r="G57" s="108"/>
      <c r="H57" s="108"/>
      <c r="I57" s="115"/>
      <c r="J57" s="132">
        <v>85</v>
      </c>
      <c r="K57" s="108"/>
      <c r="L57" s="108"/>
      <c r="M57" s="108"/>
      <c r="N57" s="108"/>
      <c r="O57" s="115"/>
      <c r="P57" s="132">
        <v>85</v>
      </c>
      <c r="Q57" s="115"/>
      <c r="R57" s="115"/>
      <c r="S57" s="115"/>
      <c r="T57" s="115"/>
      <c r="U57" s="115"/>
      <c r="V57" s="132">
        <v>85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hidden="1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hidden="1" x14ac:dyDescent="0.25">
      <c r="A63" s="1"/>
      <c r="B63" s="312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hidden="1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hidden="1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hidden="1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hidden="1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hidden="1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hidden="1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hidden="1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hidden="1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hidden="1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hidden="1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hidden="1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hidden="1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hidden="1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hidden="1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hidden="1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hidden="1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hidden="1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hidden="1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hidden="1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hidden="1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43705</v>
      </c>
      <c r="D91" s="156" t="s">
        <v>105</v>
      </c>
      <c r="E91" s="313" t="s">
        <v>106</v>
      </c>
      <c r="F91" s="313"/>
      <c r="G91" s="313"/>
      <c r="H91" s="156"/>
      <c r="I91" s="156" t="s">
        <v>107</v>
      </c>
      <c r="J91" s="314" t="s">
        <v>108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53" priority="3" operator="equal">
      <formula>0</formula>
    </cfRule>
    <cfRule type="containsErrors" dxfId="52" priority="4">
      <formula>ISERROR(AB15)</formula>
    </cfRule>
  </conditionalFormatting>
  <conditionalFormatting sqref="AB28:AB41">
    <cfRule type="cellIs" dxfId="51" priority="1" operator="equal">
      <formula>0</formula>
    </cfRule>
    <cfRule type="containsErrors" dxfId="50" priority="2">
      <formula>ISERROR(AB28)</formula>
    </cfRule>
  </conditionalFormatting>
  <pageMargins left="0.70866141732283472" right="0.70866141732283472" top="1.3779527559055118" bottom="0.78740157480314965" header="0.31496062992125984" footer="0.31496062992125984"/>
  <pageSetup paperSize="8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80" zoomScaleNormal="80" zoomScaleSheetLayoutView="80" workbookViewId="0">
      <selection activeCell="J96" sqref="J9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183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61345636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184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2924.4</v>
      </c>
      <c r="G15" s="18">
        <v>2824.8</v>
      </c>
      <c r="H15" s="19">
        <v>99.6</v>
      </c>
      <c r="I15" s="20">
        <f>G15+H15</f>
        <v>2924.4</v>
      </c>
      <c r="J15" s="15"/>
      <c r="K15" s="16"/>
      <c r="L15" s="17">
        <v>2900</v>
      </c>
      <c r="M15" s="18">
        <v>2800</v>
      </c>
      <c r="N15" s="19">
        <v>100</v>
      </c>
      <c r="O15" s="20">
        <f>M15+N15</f>
        <v>2900</v>
      </c>
      <c r="P15" s="15"/>
      <c r="Q15" s="16"/>
      <c r="R15" s="17">
        <v>1773.5</v>
      </c>
      <c r="S15" s="18">
        <v>1690.24</v>
      </c>
      <c r="T15" s="19">
        <v>83.3</v>
      </c>
      <c r="U15" s="20">
        <f>S15+T15</f>
        <v>1773.54</v>
      </c>
      <c r="V15" s="15"/>
      <c r="W15" s="16"/>
      <c r="X15" s="17">
        <v>3000</v>
      </c>
      <c r="Y15" s="18">
        <v>2900</v>
      </c>
      <c r="Z15" s="19">
        <v>100</v>
      </c>
      <c r="AA15" s="20">
        <f>Y15+Z15</f>
        <v>3000</v>
      </c>
      <c r="AB15" s="21">
        <f>(AA15/O15)</f>
        <v>1.0344827586206897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1326</v>
      </c>
      <c r="E16" s="25"/>
      <c r="F16" s="25"/>
      <c r="G16" s="26">
        <v>1326</v>
      </c>
      <c r="H16" s="27"/>
      <c r="I16" s="20">
        <f t="shared" ref="I16:I23" si="0">G16+H16</f>
        <v>1326</v>
      </c>
      <c r="J16" s="24">
        <v>1500</v>
      </c>
      <c r="K16" s="25"/>
      <c r="L16" s="25"/>
      <c r="M16" s="26">
        <v>1500</v>
      </c>
      <c r="N16" s="27"/>
      <c r="O16" s="20">
        <f t="shared" ref="O16:O20" si="1">M16+N16</f>
        <v>1500</v>
      </c>
      <c r="P16" s="24">
        <v>750</v>
      </c>
      <c r="Q16" s="25"/>
      <c r="R16" s="25"/>
      <c r="S16" s="26">
        <f t="shared" ref="S16:S19" si="2">SUM(P16:R16)</f>
        <v>750</v>
      </c>
      <c r="T16" s="27"/>
      <c r="U16" s="20">
        <f t="shared" ref="U16:U20" si="3">S16+T16</f>
        <v>750</v>
      </c>
      <c r="V16" s="24">
        <v>1700</v>
      </c>
      <c r="W16" s="25"/>
      <c r="X16" s="25"/>
      <c r="Y16" s="26">
        <f t="shared" ref="Y16:Y23" si="4">SUM(V16:X16)</f>
        <v>1700</v>
      </c>
      <c r="Z16" s="27"/>
      <c r="AA16" s="20">
        <f t="shared" ref="AA16:AA20" si="5">Y16+Z16</f>
        <v>1700</v>
      </c>
      <c r="AB16" s="21">
        <f t="shared" ref="AB16:AB24" si="6">(AA16/O16)</f>
        <v>1.1333333333333333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208</v>
      </c>
      <c r="E17" s="30"/>
      <c r="F17" s="30"/>
      <c r="G17" s="26">
        <v>168</v>
      </c>
      <c r="H17" s="31">
        <v>40</v>
      </c>
      <c r="I17" s="20">
        <f t="shared" si="0"/>
        <v>208</v>
      </c>
      <c r="J17" s="29">
        <v>190</v>
      </c>
      <c r="K17" s="30"/>
      <c r="L17" s="30"/>
      <c r="M17" s="26">
        <f t="shared" ref="M17" si="7">SUM(J17:L17)</f>
        <v>190</v>
      </c>
      <c r="N17" s="31"/>
      <c r="O17" s="20">
        <f t="shared" si="1"/>
        <v>190</v>
      </c>
      <c r="P17" s="29">
        <v>190</v>
      </c>
      <c r="Q17" s="30"/>
      <c r="R17" s="30"/>
      <c r="S17" s="26">
        <f t="shared" si="2"/>
        <v>190</v>
      </c>
      <c r="T17" s="31"/>
      <c r="U17" s="20">
        <f t="shared" si="3"/>
        <v>190</v>
      </c>
      <c r="V17" s="29"/>
      <c r="W17" s="30"/>
      <c r="X17" s="30"/>
      <c r="Y17" s="26">
        <f t="shared" si="4"/>
        <v>0</v>
      </c>
      <c r="Z17" s="31"/>
      <c r="AA17" s="20">
        <f t="shared" si="5"/>
        <v>0</v>
      </c>
      <c r="AB17" s="21">
        <f t="shared" si="6"/>
        <v>0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18437.099999999999</v>
      </c>
      <c r="F18" s="30"/>
      <c r="G18" s="26">
        <v>18413.2</v>
      </c>
      <c r="H18" s="19">
        <v>23.9</v>
      </c>
      <c r="I18" s="20">
        <f t="shared" si="0"/>
        <v>18437.100000000002</v>
      </c>
      <c r="J18" s="33"/>
      <c r="K18" s="34">
        <v>20303</v>
      </c>
      <c r="L18" s="30"/>
      <c r="M18" s="26">
        <v>20303</v>
      </c>
      <c r="N18" s="19"/>
      <c r="O18" s="20">
        <f t="shared" si="1"/>
        <v>20303</v>
      </c>
      <c r="P18" s="33"/>
      <c r="Q18" s="34">
        <v>10158.1</v>
      </c>
      <c r="R18" s="30"/>
      <c r="S18" s="26">
        <v>10152</v>
      </c>
      <c r="T18" s="19">
        <v>6.1</v>
      </c>
      <c r="U18" s="20">
        <f t="shared" si="3"/>
        <v>10158.1</v>
      </c>
      <c r="V18" s="33"/>
      <c r="W18" s="34">
        <v>22200</v>
      </c>
      <c r="X18" s="30"/>
      <c r="Y18" s="26">
        <f t="shared" si="4"/>
        <v>22200</v>
      </c>
      <c r="Z18" s="19"/>
      <c r="AA18" s="20">
        <f t="shared" si="5"/>
        <v>22200</v>
      </c>
      <c r="AB18" s="21">
        <f t="shared" si="6"/>
        <v>1.0934344678126384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ref="G19:G23" si="8">SUM(D19:F19)</f>
        <v>0</v>
      </c>
      <c r="H19" s="38"/>
      <c r="I19" s="20">
        <f t="shared" si="0"/>
        <v>0</v>
      </c>
      <c r="J19" s="36"/>
      <c r="K19" s="30"/>
      <c r="L19" s="37"/>
      <c r="M19" s="26">
        <f t="shared" ref="M19" si="9">SUM(J19:L19)</f>
        <v>0</v>
      </c>
      <c r="N19" s="38"/>
      <c r="O19" s="20">
        <f t="shared" si="1"/>
        <v>0</v>
      </c>
      <c r="P19" s="36"/>
      <c r="Q19" s="30"/>
      <c r="R19" s="37"/>
      <c r="S19" s="26">
        <f t="shared" si="2"/>
        <v>0</v>
      </c>
      <c r="T19" s="38"/>
      <c r="U19" s="20">
        <f t="shared" si="3"/>
        <v>0</v>
      </c>
      <c r="V19" s="36"/>
      <c r="W19" s="30"/>
      <c r="X19" s="37"/>
      <c r="Y19" s="26">
        <f t="shared" si="4"/>
        <v>0</v>
      </c>
      <c r="Z19" s="38"/>
      <c r="AA19" s="20">
        <f t="shared" si="5"/>
        <v>0</v>
      </c>
      <c r="AB19" s="21" t="e">
        <f t="shared" si="6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111.1</v>
      </c>
      <c r="G20" s="26">
        <v>111.1</v>
      </c>
      <c r="H20" s="38"/>
      <c r="I20" s="20">
        <f t="shared" si="0"/>
        <v>111.1</v>
      </c>
      <c r="J20" s="33"/>
      <c r="K20" s="25"/>
      <c r="L20" s="40">
        <v>150</v>
      </c>
      <c r="M20" s="26">
        <v>150</v>
      </c>
      <c r="N20" s="38"/>
      <c r="O20" s="20">
        <f t="shared" si="1"/>
        <v>150</v>
      </c>
      <c r="P20" s="33"/>
      <c r="Q20" s="25"/>
      <c r="R20" s="40">
        <v>69.5</v>
      </c>
      <c r="S20" s="26">
        <v>7.8</v>
      </c>
      <c r="T20" s="38">
        <v>61.7</v>
      </c>
      <c r="U20" s="20">
        <f t="shared" si="3"/>
        <v>69.5</v>
      </c>
      <c r="V20" s="33"/>
      <c r="W20" s="25"/>
      <c r="X20" s="40">
        <v>150</v>
      </c>
      <c r="Y20" s="26">
        <v>100</v>
      </c>
      <c r="Z20" s="38"/>
      <c r="AA20" s="20">
        <f t="shared" si="5"/>
        <v>100</v>
      </c>
      <c r="AB20" s="21">
        <f t="shared" si="6"/>
        <v>0.66666666666666663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105.9</v>
      </c>
      <c r="G21" s="26">
        <v>32.5</v>
      </c>
      <c r="H21" s="42">
        <v>73.400000000000006</v>
      </c>
      <c r="I21" s="20">
        <f t="shared" si="0"/>
        <v>105.9</v>
      </c>
      <c r="J21" s="33"/>
      <c r="K21" s="25"/>
      <c r="L21" s="40">
        <v>150</v>
      </c>
      <c r="M21" s="26">
        <v>60</v>
      </c>
      <c r="N21" s="42">
        <v>90</v>
      </c>
      <c r="O21" s="20">
        <f>M21+N21</f>
        <v>150</v>
      </c>
      <c r="P21" s="33"/>
      <c r="Q21" s="25"/>
      <c r="R21" s="40">
        <f>218.2+1.017</f>
        <v>219.21699999999998</v>
      </c>
      <c r="S21" s="26">
        <v>175.2</v>
      </c>
      <c r="T21" s="42">
        <v>44</v>
      </c>
      <c r="U21" s="20">
        <f>S21+T21</f>
        <v>219.2</v>
      </c>
      <c r="V21" s="33"/>
      <c r="W21" s="25"/>
      <c r="X21" s="40">
        <v>200</v>
      </c>
      <c r="Y21" s="26">
        <f t="shared" si="4"/>
        <v>200</v>
      </c>
      <c r="Z21" s="42">
        <v>50</v>
      </c>
      <c r="AA21" s="20">
        <f>Y21+Z21</f>
        <v>250</v>
      </c>
      <c r="AB21" s="21">
        <f t="shared" si="6"/>
        <v>1.6666666666666667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>
        <v>67.2</v>
      </c>
      <c r="G22" s="26">
        <v>0</v>
      </c>
      <c r="H22" s="42">
        <v>67.2</v>
      </c>
      <c r="I22" s="20">
        <f t="shared" si="0"/>
        <v>67.2</v>
      </c>
      <c r="J22" s="33"/>
      <c r="K22" s="25"/>
      <c r="L22" s="40">
        <v>90</v>
      </c>
      <c r="M22" s="26">
        <v>0</v>
      </c>
      <c r="N22" s="42">
        <v>90</v>
      </c>
      <c r="O22" s="20">
        <v>90</v>
      </c>
      <c r="P22" s="33"/>
      <c r="Q22" s="25"/>
      <c r="R22" s="40">
        <f>44.044+29.153</f>
        <v>73.197000000000003</v>
      </c>
      <c r="S22" s="26">
        <v>0</v>
      </c>
      <c r="T22" s="42">
        <v>44.04</v>
      </c>
      <c r="U22" s="20">
        <f t="shared" ref="U22:U23" si="10">S22+T22</f>
        <v>44.04</v>
      </c>
      <c r="V22" s="33"/>
      <c r="W22" s="25"/>
      <c r="X22" s="40">
        <v>100</v>
      </c>
      <c r="Y22" s="26">
        <v>50</v>
      </c>
      <c r="Z22" s="42">
        <v>50</v>
      </c>
      <c r="AA22" s="20">
        <f t="shared" ref="AA22:AA23" si="11">Y22+Z22</f>
        <v>100</v>
      </c>
      <c r="AB22" s="21">
        <f t="shared" si="6"/>
        <v>1.1111111111111112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8"/>
        <v>0</v>
      </c>
      <c r="H23" s="49"/>
      <c r="I23" s="20">
        <f t="shared" si="0"/>
        <v>0</v>
      </c>
      <c r="J23" s="45"/>
      <c r="K23" s="46"/>
      <c r="L23" s="47">
        <v>0</v>
      </c>
      <c r="M23" s="48">
        <f t="shared" ref="M23" si="12">SUM(J23:L23)</f>
        <v>0</v>
      </c>
      <c r="N23" s="49"/>
      <c r="O23" s="50">
        <f t="shared" ref="O23" si="13">M23+N23</f>
        <v>0</v>
      </c>
      <c r="P23" s="45"/>
      <c r="Q23" s="46"/>
      <c r="R23" s="47">
        <v>145</v>
      </c>
      <c r="S23" s="48">
        <v>145</v>
      </c>
      <c r="T23" s="49"/>
      <c r="U23" s="50">
        <f t="shared" si="10"/>
        <v>145</v>
      </c>
      <c r="V23" s="45"/>
      <c r="W23" s="46"/>
      <c r="X23" s="47"/>
      <c r="Y23" s="48">
        <f t="shared" si="4"/>
        <v>0</v>
      </c>
      <c r="Z23" s="49"/>
      <c r="AA23" s="50">
        <f t="shared" si="11"/>
        <v>0</v>
      </c>
      <c r="AB23" s="51" t="e">
        <f t="shared" si="6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1534</v>
      </c>
      <c r="E24" s="55">
        <f>SUM(E15:E21)</f>
        <v>18437.099999999999</v>
      </c>
      <c r="F24" s="55">
        <f>F20+F15+F21</f>
        <v>3141.4</v>
      </c>
      <c r="G24" s="56">
        <f>G15+G16+G17+G18+G20+G21</f>
        <v>22875.599999999999</v>
      </c>
      <c r="H24" s="57">
        <f>H15+H17+H18+H21+0</f>
        <v>236.9</v>
      </c>
      <c r="I24" s="57">
        <f>SUM(I15:I21)</f>
        <v>23112.5</v>
      </c>
      <c r="J24" s="54">
        <f>SUM(J15:J21)</f>
        <v>1690</v>
      </c>
      <c r="K24" s="55">
        <f>SUM(K15:K21)</f>
        <v>20303</v>
      </c>
      <c r="L24" s="55">
        <f>SUM(L15:L21)</f>
        <v>3200</v>
      </c>
      <c r="M24" s="56">
        <f>SUM(M15:M23)</f>
        <v>25003</v>
      </c>
      <c r="N24" s="57">
        <f>SUM(N15:N21)</f>
        <v>190</v>
      </c>
      <c r="O24" s="57">
        <f>SUM(O15:O21)</f>
        <v>25193</v>
      </c>
      <c r="P24" s="54">
        <f>SUM(P15:P21)</f>
        <v>940</v>
      </c>
      <c r="Q24" s="55">
        <f>SUM(Q15:Q21)</f>
        <v>10158.1</v>
      </c>
      <c r="R24" s="55">
        <f>SUM(R15:R21)</f>
        <v>2062.2170000000001</v>
      </c>
      <c r="S24" s="56">
        <f>SUM(P24:R24)</f>
        <v>13160.317000000001</v>
      </c>
      <c r="T24" s="57">
        <f>SUM(T15:T21)</f>
        <v>195.1</v>
      </c>
      <c r="U24" s="57">
        <f>SUM(U15:U21)</f>
        <v>13160.34</v>
      </c>
      <c r="V24" s="54">
        <f>SUM(V15:V21)</f>
        <v>1700</v>
      </c>
      <c r="W24" s="55">
        <f>SUM(W15:W21)</f>
        <v>22200</v>
      </c>
      <c r="X24" s="55">
        <f>SUM(X15:X21)</f>
        <v>3350</v>
      </c>
      <c r="Y24" s="56">
        <f>Y15+Y16+Y20+Y21+Y18</f>
        <v>27100</v>
      </c>
      <c r="Z24" s="57">
        <f>SUM(Z15:Z21)</f>
        <v>150</v>
      </c>
      <c r="AA24" s="57">
        <f>SUM(AA15:AA21)</f>
        <v>27250</v>
      </c>
      <c r="AB24" s="58">
        <f t="shared" si="6"/>
        <v>1.0816496645893701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/>
      <c r="E28" s="65"/>
      <c r="F28" s="65">
        <v>570.6</v>
      </c>
      <c r="G28" s="66">
        <v>570.6</v>
      </c>
      <c r="H28" s="66"/>
      <c r="I28" s="67">
        <f>G28+H28</f>
        <v>570.6</v>
      </c>
      <c r="J28" s="65"/>
      <c r="K28" s="65"/>
      <c r="L28" s="65">
        <v>600</v>
      </c>
      <c r="M28" s="66">
        <v>600</v>
      </c>
      <c r="N28" s="66"/>
      <c r="O28" s="67">
        <f>M28+N28</f>
        <v>600</v>
      </c>
      <c r="P28" s="68"/>
      <c r="Q28" s="65"/>
      <c r="R28" s="65">
        <v>168.221</v>
      </c>
      <c r="S28" s="196">
        <v>168.2</v>
      </c>
      <c r="T28" s="66"/>
      <c r="U28" s="67">
        <f>S28+T28</f>
        <v>168.2</v>
      </c>
      <c r="V28" s="68"/>
      <c r="W28" s="65"/>
      <c r="X28" s="65">
        <v>600</v>
      </c>
      <c r="Y28" s="66">
        <v>600</v>
      </c>
      <c r="Z28" s="66"/>
      <c r="AA28" s="67">
        <f>Y28+Z28</f>
        <v>600</v>
      </c>
      <c r="AB28" s="21">
        <f t="shared" ref="AB28:AB41" si="14">(AA28/O28)</f>
        <v>1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/>
      <c r="E29" s="70">
        <v>15</v>
      </c>
      <c r="F29" s="70">
        <v>410.15</v>
      </c>
      <c r="G29" s="71">
        <v>421.9</v>
      </c>
      <c r="H29" s="72">
        <v>3.6</v>
      </c>
      <c r="I29" s="20">
        <f t="shared" ref="I29:I38" si="15">G29+H29</f>
        <v>425.5</v>
      </c>
      <c r="J29" s="70"/>
      <c r="K29" s="70"/>
      <c r="L29" s="70">
        <v>450</v>
      </c>
      <c r="M29" s="71">
        <v>450</v>
      </c>
      <c r="N29" s="72"/>
      <c r="O29" s="20">
        <f t="shared" ref="O29:O38" si="16">M29+N29</f>
        <v>450</v>
      </c>
      <c r="P29" s="73"/>
      <c r="Q29" s="70"/>
      <c r="R29" s="70">
        <v>175.1</v>
      </c>
      <c r="S29" s="72">
        <v>175.1</v>
      </c>
      <c r="T29" s="72"/>
      <c r="U29" s="20">
        <f t="shared" ref="U29:U38" si="17">S29+T29</f>
        <v>175.1</v>
      </c>
      <c r="V29" s="73"/>
      <c r="W29" s="70"/>
      <c r="X29" s="70">
        <v>450</v>
      </c>
      <c r="Y29" s="71">
        <v>450</v>
      </c>
      <c r="Z29" s="72"/>
      <c r="AA29" s="20">
        <f>Y29+Z29</f>
        <v>450</v>
      </c>
      <c r="AB29" s="21">
        <f t="shared" si="14"/>
        <v>1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1031.5999999999999</v>
      </c>
      <c r="E30" s="74"/>
      <c r="F30" s="74" t="s">
        <v>56</v>
      </c>
      <c r="G30" s="71">
        <v>1031.5999999999999</v>
      </c>
      <c r="H30" s="71"/>
      <c r="I30" s="20">
        <f t="shared" si="15"/>
        <v>1031.5999999999999</v>
      </c>
      <c r="J30" s="74">
        <v>1127</v>
      </c>
      <c r="K30" s="74"/>
      <c r="L30" s="74">
        <v>73</v>
      </c>
      <c r="M30" s="71">
        <v>1200</v>
      </c>
      <c r="N30" s="71"/>
      <c r="O30" s="20">
        <f t="shared" si="16"/>
        <v>1200</v>
      </c>
      <c r="P30" s="75">
        <v>636.20000000000005</v>
      </c>
      <c r="Q30" s="74"/>
      <c r="R30" s="74">
        <v>189.9</v>
      </c>
      <c r="S30" s="72">
        <f t="shared" ref="S30:S38" si="18">SUM(P30:R30)</f>
        <v>826.1</v>
      </c>
      <c r="T30" s="71"/>
      <c r="U30" s="20">
        <f t="shared" si="17"/>
        <v>826.1</v>
      </c>
      <c r="V30" s="75">
        <v>1120</v>
      </c>
      <c r="W30" s="74"/>
      <c r="X30" s="74">
        <v>200</v>
      </c>
      <c r="Y30" s="71">
        <v>1320</v>
      </c>
      <c r="Z30" s="71"/>
      <c r="AA30" s="20">
        <f t="shared" ref="AA30:AA38" si="19">Y30+Z30</f>
        <v>1320</v>
      </c>
      <c r="AB30" s="21">
        <f t="shared" si="14"/>
        <v>1.1000000000000001</v>
      </c>
      <c r="AC30" s="3"/>
      <c r="AD30" s="3"/>
    </row>
    <row r="31" spans="1:30" x14ac:dyDescent="0.25">
      <c r="A31" s="1"/>
      <c r="B31" s="22">
        <v>0</v>
      </c>
      <c r="C31" s="41" t="s">
        <v>58</v>
      </c>
      <c r="D31" s="74">
        <v>178.9</v>
      </c>
      <c r="E31" s="74">
        <v>94.2</v>
      </c>
      <c r="F31" s="74">
        <v>1149.7</v>
      </c>
      <c r="G31" s="71">
        <v>1398.9</v>
      </c>
      <c r="H31" s="71">
        <v>23.9</v>
      </c>
      <c r="I31" s="20">
        <f t="shared" si="15"/>
        <v>1422.8000000000002</v>
      </c>
      <c r="J31" s="74">
        <v>142.30000000000001</v>
      </c>
      <c r="K31" s="74"/>
      <c r="L31" s="74">
        <v>1515</v>
      </c>
      <c r="M31" s="71">
        <v>1657.3</v>
      </c>
      <c r="N31" s="71"/>
      <c r="O31" s="20">
        <f t="shared" si="16"/>
        <v>1657.3</v>
      </c>
      <c r="P31" s="75">
        <v>142.30000000000001</v>
      </c>
      <c r="Q31" s="74"/>
      <c r="R31" s="74">
        <v>496.94</v>
      </c>
      <c r="S31" s="72">
        <f t="shared" si="18"/>
        <v>639.24</v>
      </c>
      <c r="T31" s="71"/>
      <c r="U31" s="20">
        <f t="shared" si="17"/>
        <v>639.24</v>
      </c>
      <c r="V31" s="75"/>
      <c r="W31" s="74"/>
      <c r="X31" s="74">
        <v>1500</v>
      </c>
      <c r="Y31" s="71">
        <v>1500</v>
      </c>
      <c r="Z31" s="71"/>
      <c r="AA31" s="20">
        <f t="shared" si="19"/>
        <v>1500</v>
      </c>
      <c r="AB31" s="21">
        <f t="shared" si="14"/>
        <v>0.90508658661678631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29.1</v>
      </c>
      <c r="E32" s="74">
        <v>13746.5</v>
      </c>
      <c r="F32" s="74">
        <v>73.099999999999994</v>
      </c>
      <c r="G32" s="71">
        <v>13733.6</v>
      </c>
      <c r="H32" s="71">
        <v>115.1</v>
      </c>
      <c r="I32" s="20">
        <f t="shared" si="15"/>
        <v>13848.7</v>
      </c>
      <c r="J32" s="76">
        <v>147.69999999999999</v>
      </c>
      <c r="K32" s="74">
        <v>15253</v>
      </c>
      <c r="L32" s="74">
        <v>80</v>
      </c>
      <c r="M32" s="71">
        <v>15353</v>
      </c>
      <c r="N32" s="71">
        <v>127.7</v>
      </c>
      <c r="O32" s="20">
        <f t="shared" si="16"/>
        <v>15480.7</v>
      </c>
      <c r="P32" s="77">
        <v>47.7</v>
      </c>
      <c r="Q32" s="74">
        <f>Q33+Q34</f>
        <v>7569.9119999999994</v>
      </c>
      <c r="R32" s="74">
        <v>88.6</v>
      </c>
      <c r="S32" s="72">
        <f>S33+S34</f>
        <v>7569.9119999999994</v>
      </c>
      <c r="T32" s="71">
        <v>136.30000000000001</v>
      </c>
      <c r="U32" s="20">
        <f t="shared" si="17"/>
        <v>7706.2119999999995</v>
      </c>
      <c r="V32" s="77">
        <v>300</v>
      </c>
      <c r="W32" s="74">
        <v>16660</v>
      </c>
      <c r="X32" s="74">
        <v>50</v>
      </c>
      <c r="Y32" s="71">
        <v>16960</v>
      </c>
      <c r="Z32" s="71">
        <v>50</v>
      </c>
      <c r="AA32" s="20">
        <f>Y32+Z32</f>
        <v>17010</v>
      </c>
      <c r="AB32" s="21">
        <f t="shared" si="14"/>
        <v>1.098787522528051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29.1</v>
      </c>
      <c r="E33" s="74">
        <v>13450.6</v>
      </c>
      <c r="F33" s="74">
        <v>73.099999999999994</v>
      </c>
      <c r="G33" s="71">
        <v>13437.7</v>
      </c>
      <c r="H33" s="71">
        <v>115.1</v>
      </c>
      <c r="I33" s="20">
        <f t="shared" si="15"/>
        <v>13552.800000000001</v>
      </c>
      <c r="J33" s="76"/>
      <c r="K33" s="74">
        <v>14850</v>
      </c>
      <c r="L33" s="74">
        <v>80</v>
      </c>
      <c r="M33" s="71">
        <v>14950</v>
      </c>
      <c r="N33" s="71">
        <v>127.7</v>
      </c>
      <c r="O33" s="20">
        <f t="shared" si="16"/>
        <v>15077.7</v>
      </c>
      <c r="P33" s="77">
        <v>47.7</v>
      </c>
      <c r="Q33" s="74">
        <v>7358.4</v>
      </c>
      <c r="R33" s="74">
        <v>88.6</v>
      </c>
      <c r="S33" s="72">
        <v>7358.4</v>
      </c>
      <c r="T33" s="71">
        <f>88.6+P33</f>
        <v>136.30000000000001</v>
      </c>
      <c r="U33" s="20">
        <f t="shared" si="17"/>
        <v>7494.7</v>
      </c>
      <c r="V33" s="77"/>
      <c r="W33" s="74">
        <v>16300</v>
      </c>
      <c r="X33" s="74">
        <v>50</v>
      </c>
      <c r="Y33" s="71">
        <v>16600</v>
      </c>
      <c r="Z33" s="71">
        <v>50</v>
      </c>
      <c r="AA33" s="20">
        <v>16650</v>
      </c>
      <c r="AB33" s="21">
        <f t="shared" si="14"/>
        <v>1.1042798304781232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 t="s">
        <v>56</v>
      </c>
      <c r="E34" s="74">
        <v>295.89999999999998</v>
      </c>
      <c r="F34" s="74"/>
      <c r="G34" s="71">
        <v>295.89999999999998</v>
      </c>
      <c r="H34" s="71"/>
      <c r="I34" s="20">
        <f t="shared" si="15"/>
        <v>295.89999999999998</v>
      </c>
      <c r="J34" s="76" t="s">
        <v>56</v>
      </c>
      <c r="K34" s="74">
        <v>403</v>
      </c>
      <c r="L34" s="74"/>
      <c r="M34" s="71">
        <v>403</v>
      </c>
      <c r="N34" s="71"/>
      <c r="O34" s="20">
        <f t="shared" si="16"/>
        <v>403</v>
      </c>
      <c r="P34" s="77" t="s">
        <v>56</v>
      </c>
      <c r="Q34" s="74">
        <f>30.597+180.915</f>
        <v>211.512</v>
      </c>
      <c r="R34" s="74"/>
      <c r="S34" s="72">
        <f t="shared" si="18"/>
        <v>211.512</v>
      </c>
      <c r="T34" s="71"/>
      <c r="U34" s="20">
        <f t="shared" si="17"/>
        <v>211.512</v>
      </c>
      <c r="V34" s="77"/>
      <c r="W34" s="74">
        <v>360</v>
      </c>
      <c r="X34" s="74"/>
      <c r="Y34" s="71">
        <v>360</v>
      </c>
      <c r="Z34" s="71"/>
      <c r="AA34" s="20">
        <v>360</v>
      </c>
      <c r="AB34" s="21">
        <f t="shared" si="14"/>
        <v>0.89330024813895781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 t="s">
        <v>56</v>
      </c>
      <c r="E35" s="74">
        <v>4581.3999999999996</v>
      </c>
      <c r="F35" s="74"/>
      <c r="G35" s="71">
        <v>4581.3999999999996</v>
      </c>
      <c r="H35" s="71"/>
      <c r="I35" s="20">
        <f t="shared" si="15"/>
        <v>4581.3999999999996</v>
      </c>
      <c r="J35" s="76" t="s">
        <v>56</v>
      </c>
      <c r="K35" s="74">
        <v>5050</v>
      </c>
      <c r="L35" s="74"/>
      <c r="M35" s="71">
        <v>5050</v>
      </c>
      <c r="N35" s="71"/>
      <c r="O35" s="20">
        <f t="shared" si="16"/>
        <v>5050</v>
      </c>
      <c r="P35" s="77"/>
      <c r="Q35" s="74">
        <v>2476.5</v>
      </c>
      <c r="R35" s="74"/>
      <c r="S35" s="72">
        <f t="shared" si="18"/>
        <v>2476.5</v>
      </c>
      <c r="T35" s="71"/>
      <c r="U35" s="20">
        <f t="shared" si="17"/>
        <v>2476.5</v>
      </c>
      <c r="V35" s="77"/>
      <c r="W35" s="74">
        <v>5540</v>
      </c>
      <c r="X35" s="74"/>
      <c r="Y35" s="71">
        <v>5540</v>
      </c>
      <c r="Z35" s="71"/>
      <c r="AA35" s="20">
        <v>5540</v>
      </c>
      <c r="AB35" s="21">
        <f t="shared" si="14"/>
        <v>1.0970297029702971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>
        <v>2.9</v>
      </c>
      <c r="G36" s="71">
        <v>2.9</v>
      </c>
      <c r="H36" s="71"/>
      <c r="I36" s="20">
        <f t="shared" si="15"/>
        <v>2.9</v>
      </c>
      <c r="J36" s="74" t="s">
        <v>56</v>
      </c>
      <c r="K36" s="74"/>
      <c r="L36" s="74"/>
      <c r="M36" s="71">
        <f t="shared" ref="M36" si="20">SUM(J36:L36)</f>
        <v>0</v>
      </c>
      <c r="N36" s="71"/>
      <c r="O36" s="20">
        <f t="shared" si="16"/>
        <v>0</v>
      </c>
      <c r="P36" s="75"/>
      <c r="Q36" s="74"/>
      <c r="R36" s="74"/>
      <c r="S36" s="72">
        <f t="shared" si="18"/>
        <v>0</v>
      </c>
      <c r="T36" s="71"/>
      <c r="U36" s="20">
        <f t="shared" si="17"/>
        <v>0</v>
      </c>
      <c r="V36" s="75"/>
      <c r="W36" s="74"/>
      <c r="X36" s="74"/>
      <c r="Y36" s="71"/>
      <c r="Z36" s="71"/>
      <c r="AA36" s="20">
        <f t="shared" si="19"/>
        <v>0</v>
      </c>
      <c r="AB36" s="21" t="e">
        <f t="shared" si="14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231.2</v>
      </c>
      <c r="E37" s="74"/>
      <c r="F37" s="74"/>
      <c r="G37" s="71">
        <v>231.2</v>
      </c>
      <c r="H37" s="71"/>
      <c r="I37" s="20">
        <f t="shared" si="15"/>
        <v>231.2</v>
      </c>
      <c r="J37" s="197">
        <v>273</v>
      </c>
      <c r="K37" s="74"/>
      <c r="L37" s="74">
        <v>0</v>
      </c>
      <c r="M37" s="71">
        <v>273</v>
      </c>
      <c r="N37" s="71"/>
      <c r="O37" s="20">
        <v>273</v>
      </c>
      <c r="P37" s="75">
        <v>113.837</v>
      </c>
      <c r="Q37" s="74"/>
      <c r="R37" s="74"/>
      <c r="S37" s="72">
        <f t="shared" si="18"/>
        <v>113.837</v>
      </c>
      <c r="T37" s="71"/>
      <c r="U37" s="20">
        <f t="shared" si="17"/>
        <v>113.837</v>
      </c>
      <c r="V37" s="75">
        <v>280</v>
      </c>
      <c r="W37" s="74"/>
      <c r="X37" s="74"/>
      <c r="Y37" s="71">
        <v>280</v>
      </c>
      <c r="Z37" s="71"/>
      <c r="AA37" s="20">
        <f t="shared" si="19"/>
        <v>280</v>
      </c>
      <c r="AB37" s="21">
        <f t="shared" si="14"/>
        <v>1.0256410256410255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63.2</v>
      </c>
      <c r="E38" s="81"/>
      <c r="F38" s="81">
        <v>763.3</v>
      </c>
      <c r="G38" s="71">
        <v>825.8</v>
      </c>
      <c r="H38" s="82"/>
      <c r="I38" s="50">
        <f t="shared" si="15"/>
        <v>825.8</v>
      </c>
      <c r="J38" s="81"/>
      <c r="K38" s="81"/>
      <c r="L38" s="81">
        <v>482</v>
      </c>
      <c r="M38" s="71">
        <v>482</v>
      </c>
      <c r="N38" s="82"/>
      <c r="O38" s="50">
        <f t="shared" si="16"/>
        <v>482</v>
      </c>
      <c r="P38" s="83"/>
      <c r="Q38" s="81"/>
      <c r="R38" s="81">
        <f>5.62+14.071+4.214+74.72413+64.939+0.24</f>
        <v>163.80813000000001</v>
      </c>
      <c r="S38" s="198">
        <f t="shared" si="18"/>
        <v>163.80813000000001</v>
      </c>
      <c r="T38" s="82"/>
      <c r="U38" s="50">
        <f t="shared" si="17"/>
        <v>163.80813000000001</v>
      </c>
      <c r="V38" s="83"/>
      <c r="W38" s="81"/>
      <c r="X38" s="81">
        <v>550</v>
      </c>
      <c r="Y38" s="82">
        <v>550</v>
      </c>
      <c r="Z38" s="82"/>
      <c r="AA38" s="20">
        <f t="shared" si="19"/>
        <v>550</v>
      </c>
      <c r="AB38" s="21">
        <f t="shared" si="14"/>
        <v>1.1410788381742738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1534</v>
      </c>
      <c r="E39" s="85">
        <f>SUM(E35:E38)+SUM(E28:E32)</f>
        <v>18437.099999999999</v>
      </c>
      <c r="F39" s="85">
        <v>2969.6</v>
      </c>
      <c r="G39" s="86">
        <v>22798</v>
      </c>
      <c r="H39" s="87">
        <v>142.69999999999999</v>
      </c>
      <c r="I39" s="88">
        <v>22940.7</v>
      </c>
      <c r="J39" s="85">
        <f>SUM(J35:J38)+SUM(J28:J32)</f>
        <v>1690</v>
      </c>
      <c r="K39" s="85">
        <f>SUM(K35:K38)+SUM(K28:K32)</f>
        <v>20303</v>
      </c>
      <c r="L39" s="85">
        <f>SUM(L35:L38)+SUM(L28:L32)</f>
        <v>3200</v>
      </c>
      <c r="M39" s="86">
        <f>M28+M29++M30+M31+M32+M35+M37+M38</f>
        <v>25065.3</v>
      </c>
      <c r="N39" s="87">
        <f>SUM(N28:N32)+SUM(N35:N38)</f>
        <v>127.7</v>
      </c>
      <c r="O39" s="88">
        <f>SUM(O35:O38)+SUM(O28:O32)</f>
        <v>25193</v>
      </c>
      <c r="P39" s="85">
        <f>SUM(P35:P38)+SUM(P28:P32)</f>
        <v>940.03700000000003</v>
      </c>
      <c r="Q39" s="85">
        <f>SUM(Q35:Q38)+SUM(Q28:Q32)</f>
        <v>10046.412</v>
      </c>
      <c r="R39" s="85">
        <f>SUM(R35:R38)+SUM(R28:R32)</f>
        <v>1282.5691299999999</v>
      </c>
      <c r="S39" s="86">
        <f>SUM(P39:R39)</f>
        <v>12269.01813</v>
      </c>
      <c r="T39" s="87">
        <f>SUM(T28:T32)+SUM(T35:T38)</f>
        <v>136.30000000000001</v>
      </c>
      <c r="U39" s="88">
        <f>SUM(U35:U38)+SUM(U28:U32)</f>
        <v>12268.99713</v>
      </c>
      <c r="V39" s="85">
        <f>SUM(V35:V38)+SUM(V28:V32)</f>
        <v>1700</v>
      </c>
      <c r="W39" s="85">
        <f>SUM(W35:W38)+SUM(W28:W32)</f>
        <v>22200</v>
      </c>
      <c r="X39" s="85">
        <f>X28+X29+X30+X31+X32+X38</f>
        <v>3350</v>
      </c>
      <c r="Y39" s="86">
        <f>Y28+Y29+Y30+Y31+Y32+Y37+Y38+Y35</f>
        <v>27200</v>
      </c>
      <c r="Z39" s="87">
        <f>SUM(Z28:Z32)+SUM(Z35:Z38)</f>
        <v>50</v>
      </c>
      <c r="AA39" s="88">
        <f>SUM(AA35:AA38)+SUM(AA28:AA32)</f>
        <v>27250</v>
      </c>
      <c r="AB39" s="89">
        <f t="shared" si="14"/>
        <v>1.0816496645893701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0</v>
      </c>
      <c r="E40" s="92">
        <f t="shared" si="21"/>
        <v>0</v>
      </c>
      <c r="F40" s="92">
        <v>171.7</v>
      </c>
      <c r="G40" s="93">
        <v>77.5</v>
      </c>
      <c r="H40" s="93">
        <f t="shared" si="21"/>
        <v>94.200000000000017</v>
      </c>
      <c r="I40" s="94">
        <v>171.7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-62.299999999999272</v>
      </c>
      <c r="N40" s="93">
        <f t="shared" si="21"/>
        <v>62.3</v>
      </c>
      <c r="O40" s="94">
        <f t="shared" si="21"/>
        <v>0</v>
      </c>
      <c r="P40" s="92">
        <f t="shared" si="21"/>
        <v>-3.7000000000034561E-2</v>
      </c>
      <c r="Q40" s="92">
        <f t="shared" si="21"/>
        <v>111.6880000000001</v>
      </c>
      <c r="R40" s="92">
        <f t="shared" si="21"/>
        <v>779.64787000000024</v>
      </c>
      <c r="S40" s="93">
        <f t="shared" si="21"/>
        <v>891.29887000000053</v>
      </c>
      <c r="T40" s="93">
        <f t="shared" si="21"/>
        <v>58.799999999999983</v>
      </c>
      <c r="U40" s="94">
        <f t="shared" si="21"/>
        <v>891.3428700000004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>Y24-Y39</f>
        <v>-100</v>
      </c>
      <c r="Z40" s="93">
        <f t="shared" si="21"/>
        <v>100</v>
      </c>
      <c r="AA40" s="94">
        <f t="shared" si="21"/>
        <v>0</v>
      </c>
      <c r="AB40" s="95" t="e">
        <f t="shared" si="14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-1154.3</v>
      </c>
      <c r="J41" s="98"/>
      <c r="K41" s="99"/>
      <c r="L41" s="99"/>
      <c r="M41" s="100"/>
      <c r="N41" s="103"/>
      <c r="O41" s="102">
        <f>O40-J16</f>
        <v>-1500</v>
      </c>
      <c r="P41" s="98"/>
      <c r="Q41" s="99"/>
      <c r="R41" s="99"/>
      <c r="S41" s="100"/>
      <c r="T41" s="103"/>
      <c r="U41" s="102">
        <f>U40-P16</f>
        <v>141.3428700000004</v>
      </c>
      <c r="V41" s="98"/>
      <c r="W41" s="99"/>
      <c r="X41" s="99"/>
      <c r="Y41" s="100"/>
      <c r="Z41" s="103"/>
      <c r="AA41" s="102">
        <f>AA40-V16</f>
        <v>-1700</v>
      </c>
      <c r="AB41" s="21">
        <f t="shared" si="14"/>
        <v>1.1333333333333333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90</v>
      </c>
      <c r="E44" s="117">
        <v>90</v>
      </c>
      <c r="F44" s="118">
        <v>0</v>
      </c>
      <c r="G44" s="108"/>
      <c r="H44" s="108"/>
      <c r="I44" s="115"/>
      <c r="J44" s="116">
        <v>90</v>
      </c>
      <c r="K44" s="117">
        <v>90</v>
      </c>
      <c r="L44" s="118">
        <v>0</v>
      </c>
      <c r="M44" s="119"/>
      <c r="N44" s="119"/>
      <c r="O44" s="119"/>
      <c r="P44" s="116">
        <v>44.8</v>
      </c>
      <c r="Q44" s="117">
        <v>44.8</v>
      </c>
      <c r="R44" s="118">
        <v>0</v>
      </c>
      <c r="S44" s="3"/>
      <c r="T44" s="3"/>
      <c r="U44" s="3"/>
      <c r="V44" s="116">
        <v>95</v>
      </c>
      <c r="W44" s="117">
        <v>95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SUM(G51:G54)</f>
        <v>1216.3030000000001</v>
      </c>
      <c r="H50" s="108"/>
      <c r="I50" s="3"/>
      <c r="J50" s="129">
        <f>SUM(J51:J54)</f>
        <v>1216.2570000000001</v>
      </c>
      <c r="K50" s="129">
        <f t="shared" ref="K50:L50" si="22">SUM(K51:K54)</f>
        <v>1414</v>
      </c>
      <c r="L50" s="129">
        <f t="shared" si="22"/>
        <v>1955</v>
      </c>
      <c r="M50" s="130">
        <f>J50+K50-L50</f>
        <v>675.25700000000006</v>
      </c>
      <c r="N50" s="3"/>
      <c r="O50" s="3"/>
      <c r="P50" s="129">
        <f>SUM(P51:P54)</f>
        <v>1216.2570000000001</v>
      </c>
      <c r="Q50" s="129">
        <f t="shared" ref="Q50:R50" si="23">SUM(Q51:Q54)</f>
        <v>1180.6079999999999</v>
      </c>
      <c r="R50" s="129">
        <f t="shared" si="23"/>
        <v>1741.25</v>
      </c>
      <c r="S50" s="130">
        <f>P50+Q50-R50</f>
        <v>655.61499999999978</v>
      </c>
      <c r="T50" s="3"/>
      <c r="U50" s="3"/>
      <c r="V50" s="130">
        <f>S50+T50-U50</f>
        <v>655.61499999999978</v>
      </c>
      <c r="W50" s="130">
        <f>SUM(W51:W54)</f>
        <v>644</v>
      </c>
      <c r="X50" s="130">
        <f>SUM(X51:X54)</f>
        <v>490</v>
      </c>
      <c r="Y50" s="130">
        <f>V50+W50-X50</f>
        <v>809.61499999999978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546.65300000000002</v>
      </c>
      <c r="E51" s="129">
        <v>247.38300000000001</v>
      </c>
      <c r="F51" s="129">
        <v>81.055000000000007</v>
      </c>
      <c r="G51" s="129">
        <v>712.98099999999999</v>
      </c>
      <c r="H51" s="108"/>
      <c r="I51" s="3"/>
      <c r="J51" s="129">
        <v>712.98099999999999</v>
      </c>
      <c r="K51" s="129">
        <v>236</v>
      </c>
      <c r="L51" s="129">
        <v>645</v>
      </c>
      <c r="M51" s="130">
        <f t="shared" ref="M51:M54" si="24">J51+K51-L51</f>
        <v>303.98099999999999</v>
      </c>
      <c r="N51" s="3"/>
      <c r="O51" s="3"/>
      <c r="P51" s="129">
        <v>712.98099999999999</v>
      </c>
      <c r="Q51" s="129">
        <v>236.22</v>
      </c>
      <c r="R51" s="129">
        <v>629.5</v>
      </c>
      <c r="S51" s="130">
        <v>304</v>
      </c>
      <c r="T51" s="3"/>
      <c r="U51" s="3"/>
      <c r="V51" s="130">
        <v>304</v>
      </c>
      <c r="W51" s="129">
        <v>50</v>
      </c>
      <c r="X51" s="129">
        <v>50</v>
      </c>
      <c r="Y51" s="130">
        <f t="shared" ref="Y51:Y54" si="25">V51+W51-X51</f>
        <v>304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74.227000000000004</v>
      </c>
      <c r="E52" s="129">
        <v>231.249</v>
      </c>
      <c r="F52" s="129">
        <v>90.02</v>
      </c>
      <c r="G52" s="129">
        <v>215.45</v>
      </c>
      <c r="H52" s="108"/>
      <c r="I52" s="3"/>
      <c r="J52" s="129">
        <v>215.45</v>
      </c>
      <c r="K52" s="129">
        <v>863</v>
      </c>
      <c r="L52" s="129">
        <v>975</v>
      </c>
      <c r="M52" s="130">
        <f t="shared" si="24"/>
        <v>103.45000000000005</v>
      </c>
      <c r="N52" s="3"/>
      <c r="O52" s="3"/>
      <c r="P52" s="129">
        <v>215.45</v>
      </c>
      <c r="Q52" s="129">
        <v>778.45600000000002</v>
      </c>
      <c r="R52" s="129">
        <v>975</v>
      </c>
      <c r="S52" s="130">
        <v>103.5</v>
      </c>
      <c r="T52" s="3"/>
      <c r="U52" s="3"/>
      <c r="V52" s="130">
        <v>103.5</v>
      </c>
      <c r="W52" s="129">
        <v>274</v>
      </c>
      <c r="X52" s="129">
        <v>100</v>
      </c>
      <c r="Y52" s="130">
        <f t="shared" si="25"/>
        <v>277.5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224.126</v>
      </c>
      <c r="E53" s="129">
        <v>20</v>
      </c>
      <c r="F53" s="129">
        <v>30</v>
      </c>
      <c r="G53" s="129">
        <v>214.126</v>
      </c>
      <c r="H53" s="108"/>
      <c r="I53" s="3"/>
      <c r="J53" s="129">
        <v>214.126</v>
      </c>
      <c r="K53" s="129">
        <v>20</v>
      </c>
      <c r="L53" s="129">
        <v>40</v>
      </c>
      <c r="M53" s="130">
        <f>J53+K53-L53</f>
        <v>194.126</v>
      </c>
      <c r="N53" s="3"/>
      <c r="O53" s="3"/>
      <c r="P53" s="129">
        <v>214.126</v>
      </c>
      <c r="Q53" s="129">
        <v>20</v>
      </c>
      <c r="R53" s="129">
        <v>0</v>
      </c>
      <c r="S53" s="130">
        <v>194.1</v>
      </c>
      <c r="T53" s="3"/>
      <c r="U53" s="3"/>
      <c r="V53" s="130">
        <v>194.1</v>
      </c>
      <c r="W53" s="129">
        <v>20</v>
      </c>
      <c r="X53" s="129">
        <v>40</v>
      </c>
      <c r="Y53" s="130">
        <f t="shared" si="25"/>
        <v>174.1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65.158000000000001</v>
      </c>
      <c r="E54" s="129">
        <v>266.97800000000001</v>
      </c>
      <c r="F54" s="129">
        <v>258.39</v>
      </c>
      <c r="G54" s="129">
        <v>73.745999999999995</v>
      </c>
      <c r="H54" s="108"/>
      <c r="I54" s="3"/>
      <c r="J54" s="129">
        <v>73.7</v>
      </c>
      <c r="K54" s="129">
        <v>295</v>
      </c>
      <c r="L54" s="129">
        <v>295</v>
      </c>
      <c r="M54" s="130">
        <f t="shared" si="24"/>
        <v>73.699999999999989</v>
      </c>
      <c r="N54" s="3"/>
      <c r="O54" s="3"/>
      <c r="P54" s="129">
        <v>73.7</v>
      </c>
      <c r="Q54" s="129">
        <v>145.93199999999999</v>
      </c>
      <c r="R54" s="129">
        <v>136.75</v>
      </c>
      <c r="S54" s="130">
        <v>73.7</v>
      </c>
      <c r="T54" s="3"/>
      <c r="U54" s="3"/>
      <c r="V54" s="130">
        <v>73.7</v>
      </c>
      <c r="W54" s="129">
        <v>300</v>
      </c>
      <c r="X54" s="129">
        <v>300</v>
      </c>
      <c r="Y54" s="130">
        <f t="shared" si="25"/>
        <v>73.699999999999989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/>
      <c r="E57" s="132">
        <v>33.4</v>
      </c>
      <c r="F57" s="108"/>
      <c r="G57" s="108"/>
      <c r="H57" s="108"/>
      <c r="I57" s="115"/>
      <c r="J57" s="132">
        <v>33.5</v>
      </c>
      <c r="K57" s="108"/>
      <c r="L57" s="108"/>
      <c r="M57" s="108"/>
      <c r="N57" s="108"/>
      <c r="O57" s="115"/>
      <c r="P57" s="132">
        <v>33.299999999999997</v>
      </c>
      <c r="Q57" s="115"/>
      <c r="R57" s="115"/>
      <c r="S57" s="115"/>
      <c r="T57" s="115"/>
      <c r="U57" s="115"/>
      <c r="V57" s="132">
        <v>33.5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 t="s">
        <v>185</v>
      </c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 t="s">
        <v>186</v>
      </c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43706</v>
      </c>
      <c r="D91" s="156" t="s">
        <v>105</v>
      </c>
      <c r="E91" s="313" t="s">
        <v>187</v>
      </c>
      <c r="F91" s="313"/>
      <c r="G91" s="313"/>
      <c r="H91" s="156"/>
      <c r="I91" s="156" t="s">
        <v>107</v>
      </c>
      <c r="J91" s="314" t="s">
        <v>188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21" priority="5" operator="equal">
      <formula>0</formula>
    </cfRule>
    <cfRule type="containsErrors" dxfId="20" priority="6">
      <formula>ISERROR(AB15)</formula>
    </cfRule>
  </conditionalFormatting>
  <conditionalFormatting sqref="AB39:AB41">
    <cfRule type="cellIs" dxfId="19" priority="3" operator="equal">
      <formula>0</formula>
    </cfRule>
    <cfRule type="containsErrors" dxfId="18" priority="4">
      <formula>ISERROR(AB39)</formula>
    </cfRule>
  </conditionalFormatting>
  <conditionalFormatting sqref="AB28:AB38">
    <cfRule type="cellIs" dxfId="17" priority="1" operator="equal">
      <formula>0</formula>
    </cfRule>
    <cfRule type="containsErrors" dxfId="16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80" zoomScaleNormal="80" zoomScaleSheetLayoutView="80" workbookViewId="0">
      <selection activeCell="C91" sqref="C9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189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72744341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67" t="s">
        <v>190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870.1</v>
      </c>
      <c r="G15" s="18">
        <f>SUM(D15:F15)</f>
        <v>870.1</v>
      </c>
      <c r="H15" s="19">
        <v>0</v>
      </c>
      <c r="I15" s="20">
        <f>G15+H15</f>
        <v>870.1</v>
      </c>
      <c r="J15" s="15"/>
      <c r="K15" s="16"/>
      <c r="L15" s="17">
        <v>807</v>
      </c>
      <c r="M15" s="18">
        <f t="shared" ref="M15:M23" si="0">SUM(J15:L15)</f>
        <v>807</v>
      </c>
      <c r="N15" s="19">
        <v>0</v>
      </c>
      <c r="O15" s="20">
        <f>M15+N15</f>
        <v>807</v>
      </c>
      <c r="P15" s="15"/>
      <c r="Q15" s="16"/>
      <c r="R15" s="17">
        <v>497.7</v>
      </c>
      <c r="S15" s="18">
        <f>SUM(P15:R15)</f>
        <v>497.7</v>
      </c>
      <c r="T15" s="19">
        <v>0</v>
      </c>
      <c r="U15" s="20">
        <f>S15+T15</f>
        <v>497.7</v>
      </c>
      <c r="V15" s="15"/>
      <c r="W15" s="16"/>
      <c r="X15" s="17">
        <v>808</v>
      </c>
      <c r="Y15" s="18">
        <f>SUM(V15:X15)</f>
        <v>808</v>
      </c>
      <c r="Z15" s="19">
        <v>0</v>
      </c>
      <c r="AA15" s="20">
        <f>Y15+Z15</f>
        <v>808</v>
      </c>
      <c r="AB15" s="21">
        <f>(AA15/O15)</f>
        <v>1.0012391573729864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2368</v>
      </c>
      <c r="E16" s="25"/>
      <c r="F16" s="25"/>
      <c r="G16" s="26">
        <f t="shared" ref="G16:G23" si="1">SUM(D16:F16)</f>
        <v>2368</v>
      </c>
      <c r="H16" s="27"/>
      <c r="I16" s="20">
        <f t="shared" ref="I16:I23" si="2">G16+H16</f>
        <v>2368</v>
      </c>
      <c r="J16" s="24">
        <v>2368</v>
      </c>
      <c r="K16" s="25"/>
      <c r="L16" s="25"/>
      <c r="M16" s="26">
        <f t="shared" si="0"/>
        <v>2368</v>
      </c>
      <c r="N16" s="27"/>
      <c r="O16" s="20">
        <f t="shared" ref="O16:O20" si="3">M16+N16</f>
        <v>2368</v>
      </c>
      <c r="P16" s="24">
        <v>1291</v>
      </c>
      <c r="Q16" s="25"/>
      <c r="R16" s="25"/>
      <c r="S16" s="26">
        <f t="shared" ref="S16:S23" si="4">SUM(P16:R16)</f>
        <v>1291</v>
      </c>
      <c r="T16" s="27"/>
      <c r="U16" s="20">
        <f t="shared" ref="U16:U20" si="5">S16+T16</f>
        <v>1291</v>
      </c>
      <c r="V16" s="24">
        <v>2418</v>
      </c>
      <c r="W16" s="25"/>
      <c r="X16" s="25"/>
      <c r="Y16" s="26">
        <f t="shared" ref="Y16:Y23" si="6">SUM(V16:X16)</f>
        <v>2418</v>
      </c>
      <c r="Z16" s="27"/>
      <c r="AA16" s="20">
        <f t="shared" ref="AA16:AA20" si="7">Y16+Z16</f>
        <v>2418</v>
      </c>
      <c r="AB16" s="21">
        <f t="shared" ref="AB16:AB24" si="8">(AA16/O16)</f>
        <v>1.0211148648648649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209</v>
      </c>
      <c r="E17" s="30"/>
      <c r="F17" s="30"/>
      <c r="G17" s="26">
        <f t="shared" si="1"/>
        <v>209</v>
      </c>
      <c r="H17" s="31"/>
      <c r="I17" s="20">
        <f t="shared" si="2"/>
        <v>209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139</v>
      </c>
      <c r="Q17" s="30"/>
      <c r="R17" s="30"/>
      <c r="S17" s="26">
        <f t="shared" si="4"/>
        <v>139</v>
      </c>
      <c r="T17" s="31"/>
      <c r="U17" s="20">
        <f t="shared" si="5"/>
        <v>139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16943.8</v>
      </c>
      <c r="F18" s="30"/>
      <c r="G18" s="26">
        <f t="shared" si="1"/>
        <v>16943.8</v>
      </c>
      <c r="H18" s="19"/>
      <c r="I18" s="20">
        <f t="shared" si="2"/>
        <v>16943.8</v>
      </c>
      <c r="J18" s="33"/>
      <c r="K18" s="34">
        <v>16311</v>
      </c>
      <c r="L18" s="30"/>
      <c r="M18" s="26">
        <f t="shared" si="0"/>
        <v>16311</v>
      </c>
      <c r="N18" s="19"/>
      <c r="O18" s="20">
        <f t="shared" si="3"/>
        <v>16311</v>
      </c>
      <c r="P18" s="33"/>
      <c r="Q18" s="34">
        <v>8887.4</v>
      </c>
      <c r="R18" s="30"/>
      <c r="S18" s="26">
        <f t="shared" si="4"/>
        <v>8887.4</v>
      </c>
      <c r="T18" s="19"/>
      <c r="U18" s="20">
        <f t="shared" si="5"/>
        <v>8887.4</v>
      </c>
      <c r="V18" s="33"/>
      <c r="W18" s="34">
        <v>19107.8</v>
      </c>
      <c r="X18" s="30"/>
      <c r="Y18" s="26">
        <f t="shared" si="6"/>
        <v>19107.8</v>
      </c>
      <c r="Z18" s="19"/>
      <c r="AA18" s="20">
        <f t="shared" si="7"/>
        <v>19107.8</v>
      </c>
      <c r="AB18" s="21">
        <f t="shared" si="8"/>
        <v>1.1714671080865673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428.2</v>
      </c>
      <c r="G20" s="26"/>
      <c r="H20" s="38"/>
      <c r="I20" s="20">
        <f t="shared" si="2"/>
        <v>0</v>
      </c>
      <c r="J20" s="33"/>
      <c r="K20" s="25"/>
      <c r="L20" s="40"/>
      <c r="M20" s="26">
        <f t="shared" si="0"/>
        <v>0</v>
      </c>
      <c r="N20" s="38"/>
      <c r="O20" s="20">
        <f t="shared" si="3"/>
        <v>0</v>
      </c>
      <c r="P20" s="33"/>
      <c r="Q20" s="25"/>
      <c r="R20" s="40">
        <v>229.8</v>
      </c>
      <c r="S20" s="26">
        <f t="shared" si="4"/>
        <v>229.8</v>
      </c>
      <c r="T20" s="38"/>
      <c r="U20" s="20">
        <f t="shared" si="5"/>
        <v>229.8</v>
      </c>
      <c r="V20" s="33"/>
      <c r="W20" s="25"/>
      <c r="X20" s="40"/>
      <c r="Y20" s="26">
        <f t="shared" si="6"/>
        <v>0</v>
      </c>
      <c r="Z20" s="38"/>
      <c r="AA20" s="20">
        <f t="shared" si="7"/>
        <v>0</v>
      </c>
      <c r="AB20" s="21" t="e">
        <f t="shared" si="8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/>
      <c r="G21" s="26">
        <f t="shared" si="1"/>
        <v>0</v>
      </c>
      <c r="H21" s="42"/>
      <c r="I21" s="20">
        <f>G21+H21</f>
        <v>0</v>
      </c>
      <c r="J21" s="33"/>
      <c r="K21" s="25"/>
      <c r="L21" s="40"/>
      <c r="M21" s="26">
        <f t="shared" si="0"/>
        <v>0</v>
      </c>
      <c r="N21" s="42"/>
      <c r="O21" s="20">
        <f>M21+N21</f>
        <v>0</v>
      </c>
      <c r="P21" s="33"/>
      <c r="Q21" s="25"/>
      <c r="R21" s="40"/>
      <c r="S21" s="26">
        <f t="shared" si="4"/>
        <v>0</v>
      </c>
      <c r="T21" s="42"/>
      <c r="U21" s="20">
        <f>S21+T21</f>
        <v>0</v>
      </c>
      <c r="V21" s="33"/>
      <c r="W21" s="25"/>
      <c r="X21" s="40"/>
      <c r="Y21" s="26">
        <f t="shared" si="6"/>
        <v>0</v>
      </c>
      <c r="Z21" s="42"/>
      <c r="AA21" s="20">
        <f>Y21+Z21</f>
        <v>0</v>
      </c>
      <c r="AB21" s="21" t="e">
        <f t="shared" si="8"/>
        <v>#DIV/0!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/>
      <c r="I22" s="20">
        <f t="shared" si="2"/>
        <v>0</v>
      </c>
      <c r="J22" s="33"/>
      <c r="K22" s="25"/>
      <c r="L22" s="40"/>
      <c r="M22" s="26">
        <f t="shared" si="0"/>
        <v>0</v>
      </c>
      <c r="N22" s="42"/>
      <c r="O22" s="20">
        <f t="shared" ref="O22:O23" si="9">M22+N22</f>
        <v>0</v>
      </c>
      <c r="P22" s="33"/>
      <c r="Q22" s="25"/>
      <c r="R22" s="40"/>
      <c r="S22" s="26">
        <f t="shared" si="4"/>
        <v>0</v>
      </c>
      <c r="T22" s="42"/>
      <c r="U22" s="20">
        <f t="shared" ref="U22:U23" si="10">S22+T22</f>
        <v>0</v>
      </c>
      <c r="V22" s="33"/>
      <c r="W22" s="25"/>
      <c r="X22" s="40"/>
      <c r="Y22" s="26">
        <f t="shared" si="6"/>
        <v>0</v>
      </c>
      <c r="Z22" s="42"/>
      <c r="AA22" s="20">
        <f t="shared" ref="AA22:AA23" si="11">Y22+Z22</f>
        <v>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2577</v>
      </c>
      <c r="E24" s="55">
        <f>SUM(E15:E21)</f>
        <v>16943.8</v>
      </c>
      <c r="F24" s="55">
        <f>SUM(F15:F21)</f>
        <v>1298.3</v>
      </c>
      <c r="G24" s="56">
        <f>SUM(D24:F24)</f>
        <v>20819.099999999999</v>
      </c>
      <c r="H24" s="57">
        <f>SUM(H15:H21)</f>
        <v>0</v>
      </c>
      <c r="I24" s="57">
        <f>SUM(I15:I21)</f>
        <v>20390.899999999998</v>
      </c>
      <c r="J24" s="54">
        <f>SUM(J15:J21)</f>
        <v>2368</v>
      </c>
      <c r="K24" s="55">
        <f>SUM(K15:K21)</f>
        <v>16311</v>
      </c>
      <c r="L24" s="55">
        <f>SUM(L15:L21)</f>
        <v>807</v>
      </c>
      <c r="M24" s="56">
        <f>SUM(J24:L24)</f>
        <v>19486</v>
      </c>
      <c r="N24" s="57">
        <f>SUM(N15:N21)</f>
        <v>0</v>
      </c>
      <c r="O24" s="57">
        <f>SUM(O15:O21)</f>
        <v>19486</v>
      </c>
      <c r="P24" s="54">
        <f>SUM(P15:P21)</f>
        <v>1430</v>
      </c>
      <c r="Q24" s="55">
        <f>SUM(Q15:Q21)</f>
        <v>8887.4</v>
      </c>
      <c r="R24" s="55">
        <f>SUM(R15:R21)</f>
        <v>727.5</v>
      </c>
      <c r="S24" s="56">
        <f>SUM(P24:R24)</f>
        <v>11044.9</v>
      </c>
      <c r="T24" s="57">
        <f>SUM(T15:T21)</f>
        <v>0</v>
      </c>
      <c r="U24" s="57">
        <f>SUM(U15:U21)</f>
        <v>11044.9</v>
      </c>
      <c r="V24" s="54">
        <f>SUM(V15:V21)</f>
        <v>2418</v>
      </c>
      <c r="W24" s="55">
        <f>SUM(W15:W21)</f>
        <v>19107.8</v>
      </c>
      <c r="X24" s="55">
        <f>SUM(X15:X21)</f>
        <v>808</v>
      </c>
      <c r="Y24" s="56">
        <f>SUM(V24:X24)</f>
        <v>22333.8</v>
      </c>
      <c r="Z24" s="57">
        <f>SUM(Z15:Z21)</f>
        <v>0</v>
      </c>
      <c r="AA24" s="57">
        <f>SUM(AA15:AA21)</f>
        <v>22333.8</v>
      </c>
      <c r="AB24" s="58">
        <f t="shared" si="8"/>
        <v>1.1461459509391358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138.1</v>
      </c>
      <c r="E28" s="65"/>
      <c r="F28" s="65"/>
      <c r="G28" s="66">
        <f>SUM(D28:F28)</f>
        <v>138.1</v>
      </c>
      <c r="H28" s="66"/>
      <c r="I28" s="67">
        <f>G28+H28</f>
        <v>138.1</v>
      </c>
      <c r="J28" s="68">
        <v>219.3</v>
      </c>
      <c r="K28" s="65"/>
      <c r="L28" s="65"/>
      <c r="M28" s="66">
        <f>SUM(J28:L28)</f>
        <v>219.3</v>
      </c>
      <c r="N28" s="66"/>
      <c r="O28" s="67">
        <f>M28+N28</f>
        <v>219.3</v>
      </c>
      <c r="P28" s="68">
        <v>31.9</v>
      </c>
      <c r="Q28" s="65"/>
      <c r="R28" s="65">
        <v>17.3</v>
      </c>
      <c r="S28" s="66">
        <f>SUM(P28:R28)</f>
        <v>49.2</v>
      </c>
      <c r="T28" s="66"/>
      <c r="U28" s="67">
        <f>S28+T28</f>
        <v>49.2</v>
      </c>
      <c r="V28" s="68">
        <v>449.9</v>
      </c>
      <c r="W28" s="65"/>
      <c r="X28" s="65"/>
      <c r="Y28" s="66">
        <f>SUM(V28:X28)</f>
        <v>449.9</v>
      </c>
      <c r="Z28" s="66"/>
      <c r="AA28" s="67">
        <f>Y28+Z28</f>
        <v>449.9</v>
      </c>
      <c r="AB28" s="21">
        <f t="shared" ref="AB28:AB41" si="12">(AA28/O28)</f>
        <v>2.0515275877792973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344.4</v>
      </c>
      <c r="E29" s="70">
        <v>50.7</v>
      </c>
      <c r="F29" s="70">
        <v>805.4</v>
      </c>
      <c r="G29" s="71">
        <f t="shared" ref="G29:G38" si="13">SUM(D29:F29)</f>
        <v>1200.5</v>
      </c>
      <c r="H29" s="72"/>
      <c r="I29" s="20">
        <f t="shared" ref="I29:I38" si="14">G29+H29</f>
        <v>1200.5</v>
      </c>
      <c r="J29" s="73">
        <v>305</v>
      </c>
      <c r="K29" s="70">
        <v>37</v>
      </c>
      <c r="L29" s="70">
        <v>668</v>
      </c>
      <c r="M29" s="71">
        <f t="shared" ref="M29:M38" si="15">SUM(J29:L29)</f>
        <v>1010</v>
      </c>
      <c r="N29" s="72"/>
      <c r="O29" s="20">
        <f t="shared" ref="O29:O38" si="16">M29+N29</f>
        <v>1010</v>
      </c>
      <c r="P29" s="73">
        <v>183.8</v>
      </c>
      <c r="Q29" s="70">
        <v>4.9000000000000004</v>
      </c>
      <c r="R29" s="70">
        <v>416.2</v>
      </c>
      <c r="S29" s="71">
        <f t="shared" ref="S29:S38" si="17">SUM(P29:R29)</f>
        <v>604.9</v>
      </c>
      <c r="T29" s="72"/>
      <c r="U29" s="20">
        <f t="shared" ref="U29:U38" si="18">S29+T29</f>
        <v>604.9</v>
      </c>
      <c r="V29" s="73">
        <v>236</v>
      </c>
      <c r="W29" s="70">
        <v>4.9000000000000004</v>
      </c>
      <c r="X29" s="70">
        <v>699</v>
      </c>
      <c r="Y29" s="71">
        <f t="shared" ref="Y29:Y38" si="19">SUM(V29:X29)</f>
        <v>939.9</v>
      </c>
      <c r="Z29" s="72"/>
      <c r="AA29" s="20">
        <f t="shared" ref="AA29:AA38" si="20">Y29+Z29</f>
        <v>939.9</v>
      </c>
      <c r="AB29" s="21">
        <f t="shared" si="12"/>
        <v>0.93059405940594053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804.8</v>
      </c>
      <c r="E30" s="74"/>
      <c r="F30" s="74" t="s">
        <v>56</v>
      </c>
      <c r="G30" s="71">
        <f t="shared" si="13"/>
        <v>804.8</v>
      </c>
      <c r="H30" s="71"/>
      <c r="I30" s="20">
        <f t="shared" si="14"/>
        <v>804.8</v>
      </c>
      <c r="J30" s="75">
        <v>977</v>
      </c>
      <c r="K30" s="74"/>
      <c r="L30" s="74"/>
      <c r="M30" s="71">
        <f t="shared" si="15"/>
        <v>977</v>
      </c>
      <c r="N30" s="71"/>
      <c r="O30" s="20">
        <f t="shared" si="16"/>
        <v>977</v>
      </c>
      <c r="P30" s="75">
        <v>520.1</v>
      </c>
      <c r="Q30" s="74"/>
      <c r="R30" s="74">
        <v>58</v>
      </c>
      <c r="S30" s="71">
        <f t="shared" si="17"/>
        <v>578.1</v>
      </c>
      <c r="T30" s="71"/>
      <c r="U30" s="20">
        <f t="shared" si="18"/>
        <v>578.1</v>
      </c>
      <c r="V30" s="75">
        <v>914</v>
      </c>
      <c r="W30" s="74"/>
      <c r="X30" s="74"/>
      <c r="Y30" s="71">
        <f t="shared" si="19"/>
        <v>914</v>
      </c>
      <c r="Z30" s="71"/>
      <c r="AA30" s="20">
        <f t="shared" si="20"/>
        <v>914</v>
      </c>
      <c r="AB30" s="21">
        <f t="shared" si="12"/>
        <v>0.93551688843398162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352.6</v>
      </c>
      <c r="E31" s="74">
        <v>5.4</v>
      </c>
      <c r="F31" s="74">
        <v>157.69999999999999</v>
      </c>
      <c r="G31" s="71">
        <f t="shared" si="13"/>
        <v>515.70000000000005</v>
      </c>
      <c r="H31" s="71"/>
      <c r="I31" s="20">
        <f t="shared" si="14"/>
        <v>515.70000000000005</v>
      </c>
      <c r="J31" s="75">
        <v>320</v>
      </c>
      <c r="K31" s="74">
        <v>5.4</v>
      </c>
      <c r="L31" s="74">
        <v>50</v>
      </c>
      <c r="M31" s="71">
        <f t="shared" si="15"/>
        <v>375.4</v>
      </c>
      <c r="N31" s="71"/>
      <c r="O31" s="20">
        <f t="shared" si="16"/>
        <v>375.4</v>
      </c>
      <c r="P31" s="75">
        <v>190.7</v>
      </c>
      <c r="Q31" s="74"/>
      <c r="R31" s="74">
        <v>123</v>
      </c>
      <c r="S31" s="71">
        <f t="shared" si="17"/>
        <v>313.7</v>
      </c>
      <c r="T31" s="71"/>
      <c r="U31" s="20">
        <f t="shared" si="18"/>
        <v>313.7</v>
      </c>
      <c r="V31" s="75">
        <v>330</v>
      </c>
      <c r="W31" s="74"/>
      <c r="X31" s="74">
        <v>32</v>
      </c>
      <c r="Y31" s="71">
        <f t="shared" si="19"/>
        <v>362</v>
      </c>
      <c r="Z31" s="71"/>
      <c r="AA31" s="20">
        <f t="shared" si="20"/>
        <v>362</v>
      </c>
      <c r="AB31" s="21">
        <f t="shared" si="12"/>
        <v>0.96430474160895052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82.4</v>
      </c>
      <c r="E32" s="74">
        <v>12650.1</v>
      </c>
      <c r="F32" s="74">
        <v>54</v>
      </c>
      <c r="G32" s="71">
        <f t="shared" si="13"/>
        <v>12786.5</v>
      </c>
      <c r="H32" s="71"/>
      <c r="I32" s="20">
        <f t="shared" si="14"/>
        <v>12786.5</v>
      </c>
      <c r="J32" s="77">
        <v>45.4</v>
      </c>
      <c r="K32" s="74">
        <v>12198.4</v>
      </c>
      <c r="L32" s="74">
        <v>43</v>
      </c>
      <c r="M32" s="71">
        <f t="shared" si="15"/>
        <v>12286.8</v>
      </c>
      <c r="N32" s="71"/>
      <c r="O32" s="20">
        <f t="shared" si="16"/>
        <v>12286.8</v>
      </c>
      <c r="P32" s="77">
        <v>37.9</v>
      </c>
      <c r="Q32" s="74">
        <v>6684.4</v>
      </c>
      <c r="R32" s="74">
        <v>12.1</v>
      </c>
      <c r="S32" s="71">
        <f t="shared" si="17"/>
        <v>6734.4</v>
      </c>
      <c r="T32" s="71"/>
      <c r="U32" s="20">
        <f t="shared" si="18"/>
        <v>6734.4</v>
      </c>
      <c r="V32" s="77"/>
      <c r="W32" s="74">
        <v>14368.4</v>
      </c>
      <c r="X32" s="74">
        <v>43</v>
      </c>
      <c r="Y32" s="71">
        <f t="shared" si="19"/>
        <v>14411.4</v>
      </c>
      <c r="Z32" s="71"/>
      <c r="AA32" s="20">
        <f t="shared" si="20"/>
        <v>14411.4</v>
      </c>
      <c r="AB32" s="21">
        <f t="shared" si="12"/>
        <v>1.1729172770778398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69.2</v>
      </c>
      <c r="E33" s="74">
        <v>12358</v>
      </c>
      <c r="F33" s="74">
        <v>54</v>
      </c>
      <c r="G33" s="71">
        <f t="shared" si="13"/>
        <v>12481.2</v>
      </c>
      <c r="H33" s="71"/>
      <c r="I33" s="20">
        <f t="shared" si="14"/>
        <v>12481.2</v>
      </c>
      <c r="J33" s="77">
        <v>30</v>
      </c>
      <c r="K33" s="74">
        <v>11890.5</v>
      </c>
      <c r="L33" s="74">
        <v>43</v>
      </c>
      <c r="M33" s="71">
        <f t="shared" si="15"/>
        <v>11963.5</v>
      </c>
      <c r="N33" s="71"/>
      <c r="O33" s="20">
        <f t="shared" si="16"/>
        <v>11963.5</v>
      </c>
      <c r="P33" s="77">
        <v>35.9</v>
      </c>
      <c r="Q33" s="74">
        <v>6513.6</v>
      </c>
      <c r="R33" s="74">
        <v>12.1</v>
      </c>
      <c r="S33" s="71">
        <f t="shared" si="17"/>
        <v>6561.6</v>
      </c>
      <c r="T33" s="71"/>
      <c r="U33" s="20">
        <f t="shared" si="18"/>
        <v>6561.6</v>
      </c>
      <c r="V33" s="77"/>
      <c r="W33" s="74">
        <v>14033.2</v>
      </c>
      <c r="X33" s="74">
        <v>43</v>
      </c>
      <c r="Y33" s="71">
        <f t="shared" si="19"/>
        <v>14076.2</v>
      </c>
      <c r="Z33" s="71"/>
      <c r="AA33" s="20">
        <f t="shared" si="20"/>
        <v>14076.2</v>
      </c>
      <c r="AB33" s="21">
        <f t="shared" si="12"/>
        <v>1.1765954779119823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>
        <v>13.2</v>
      </c>
      <c r="E34" s="74">
        <v>292.10000000000002</v>
      </c>
      <c r="F34" s="74"/>
      <c r="G34" s="71">
        <f t="shared" si="13"/>
        <v>305.3</v>
      </c>
      <c r="H34" s="71"/>
      <c r="I34" s="20">
        <f t="shared" si="14"/>
        <v>305.3</v>
      </c>
      <c r="J34" s="77">
        <v>15.4</v>
      </c>
      <c r="K34" s="74">
        <v>307.89999999999998</v>
      </c>
      <c r="L34" s="74"/>
      <c r="M34" s="71">
        <f>SUM(J34:L34)</f>
        <v>323.29999999999995</v>
      </c>
      <c r="N34" s="71"/>
      <c r="O34" s="20">
        <f t="shared" si="16"/>
        <v>323.29999999999995</v>
      </c>
      <c r="P34" s="77">
        <v>2</v>
      </c>
      <c r="Q34" s="74">
        <v>170.8</v>
      </c>
      <c r="R34" s="74"/>
      <c r="S34" s="71">
        <f t="shared" si="17"/>
        <v>172.8</v>
      </c>
      <c r="T34" s="71"/>
      <c r="U34" s="20">
        <f t="shared" si="18"/>
        <v>172.8</v>
      </c>
      <c r="V34" s="77" t="s">
        <v>56</v>
      </c>
      <c r="W34" s="74">
        <v>335.2</v>
      </c>
      <c r="X34" s="74"/>
      <c r="Y34" s="71">
        <f t="shared" si="19"/>
        <v>335.2</v>
      </c>
      <c r="Z34" s="71"/>
      <c r="AA34" s="20">
        <f t="shared" si="20"/>
        <v>335.2</v>
      </c>
      <c r="AB34" s="21">
        <f t="shared" si="12"/>
        <v>1.0368079183420973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102.4</v>
      </c>
      <c r="E35" s="74">
        <v>4181.1000000000004</v>
      </c>
      <c r="F35" s="74"/>
      <c r="G35" s="71">
        <f t="shared" si="13"/>
        <v>4283.5</v>
      </c>
      <c r="H35" s="71"/>
      <c r="I35" s="20">
        <f t="shared" si="14"/>
        <v>4283.5</v>
      </c>
      <c r="J35" s="77">
        <v>10.199999999999999</v>
      </c>
      <c r="K35" s="74">
        <v>4034.2</v>
      </c>
      <c r="L35" s="74"/>
      <c r="M35" s="71">
        <f t="shared" si="15"/>
        <v>4044.3999999999996</v>
      </c>
      <c r="N35" s="71"/>
      <c r="O35" s="20">
        <f t="shared" si="16"/>
        <v>4044.3999999999996</v>
      </c>
      <c r="P35" s="77">
        <v>12.2</v>
      </c>
      <c r="Q35" s="74">
        <v>2184.6999999999998</v>
      </c>
      <c r="R35" s="74"/>
      <c r="S35" s="71">
        <f t="shared" si="17"/>
        <v>2196.8999999999996</v>
      </c>
      <c r="T35" s="71"/>
      <c r="U35" s="20">
        <f t="shared" si="18"/>
        <v>2196.8999999999996</v>
      </c>
      <c r="V35" s="77"/>
      <c r="W35" s="74">
        <v>4721</v>
      </c>
      <c r="X35" s="74"/>
      <c r="Y35" s="71">
        <f t="shared" si="19"/>
        <v>4721</v>
      </c>
      <c r="Z35" s="71"/>
      <c r="AA35" s="20">
        <f t="shared" si="20"/>
        <v>4721</v>
      </c>
      <c r="AB35" s="21">
        <f t="shared" si="12"/>
        <v>1.1672930471763427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/>
      <c r="G36" s="71">
        <f t="shared" si="13"/>
        <v>0</v>
      </c>
      <c r="H36" s="71"/>
      <c r="I36" s="20">
        <f t="shared" si="14"/>
        <v>0</v>
      </c>
      <c r="J36" s="75"/>
      <c r="K36" s="74"/>
      <c r="L36" s="74"/>
      <c r="M36" s="71">
        <f t="shared" si="15"/>
        <v>0</v>
      </c>
      <c r="N36" s="71"/>
      <c r="O36" s="20">
        <f t="shared" si="16"/>
        <v>0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75"/>
      <c r="W36" s="74"/>
      <c r="X36" s="74"/>
      <c r="Y36" s="71">
        <f t="shared" si="19"/>
        <v>0</v>
      </c>
      <c r="Z36" s="71"/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391</v>
      </c>
      <c r="E37" s="74"/>
      <c r="F37" s="74"/>
      <c r="G37" s="71">
        <f t="shared" si="13"/>
        <v>391</v>
      </c>
      <c r="H37" s="71"/>
      <c r="I37" s="20">
        <f t="shared" si="14"/>
        <v>391</v>
      </c>
      <c r="J37" s="75">
        <v>408.1</v>
      </c>
      <c r="K37" s="74"/>
      <c r="L37" s="74"/>
      <c r="M37" s="71">
        <f t="shared" si="15"/>
        <v>408.1</v>
      </c>
      <c r="N37" s="71"/>
      <c r="O37" s="20">
        <f t="shared" si="16"/>
        <v>408.1</v>
      </c>
      <c r="P37" s="75">
        <v>200</v>
      </c>
      <c r="Q37" s="74"/>
      <c r="R37" s="74"/>
      <c r="S37" s="71">
        <f t="shared" si="17"/>
        <v>200</v>
      </c>
      <c r="T37" s="71"/>
      <c r="U37" s="20">
        <f t="shared" si="18"/>
        <v>200</v>
      </c>
      <c r="V37" s="75">
        <v>420.5</v>
      </c>
      <c r="W37" s="74"/>
      <c r="X37" s="74"/>
      <c r="Y37" s="71">
        <f t="shared" si="19"/>
        <v>420.5</v>
      </c>
      <c r="Z37" s="71"/>
      <c r="AA37" s="20">
        <f t="shared" si="20"/>
        <v>420.5</v>
      </c>
      <c r="AB37" s="21">
        <f t="shared" si="12"/>
        <v>1.0303847096299925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229.3</v>
      </c>
      <c r="E38" s="81">
        <v>56.5</v>
      </c>
      <c r="F38" s="81">
        <v>281.2</v>
      </c>
      <c r="G38" s="71">
        <f t="shared" si="13"/>
        <v>567</v>
      </c>
      <c r="H38" s="82"/>
      <c r="I38" s="50">
        <f t="shared" si="14"/>
        <v>567</v>
      </c>
      <c r="J38" s="83">
        <v>83</v>
      </c>
      <c r="K38" s="81">
        <v>36</v>
      </c>
      <c r="L38" s="81">
        <v>46</v>
      </c>
      <c r="M38" s="82">
        <f t="shared" si="15"/>
        <v>165</v>
      </c>
      <c r="N38" s="82"/>
      <c r="O38" s="50">
        <f t="shared" si="16"/>
        <v>165</v>
      </c>
      <c r="P38" s="83">
        <v>47.7</v>
      </c>
      <c r="Q38" s="81">
        <v>13.4</v>
      </c>
      <c r="R38" s="81">
        <v>38.299999999999997</v>
      </c>
      <c r="S38" s="82">
        <f t="shared" si="17"/>
        <v>99.4</v>
      </c>
      <c r="T38" s="82"/>
      <c r="U38" s="50">
        <f t="shared" si="18"/>
        <v>99.4</v>
      </c>
      <c r="V38" s="83">
        <v>67.599999999999994</v>
      </c>
      <c r="W38" s="81">
        <v>13.5</v>
      </c>
      <c r="X38" s="81">
        <v>34</v>
      </c>
      <c r="Y38" s="82">
        <f t="shared" si="19"/>
        <v>115.1</v>
      </c>
      <c r="Z38" s="82"/>
      <c r="AA38" s="50">
        <f t="shared" si="20"/>
        <v>115.1</v>
      </c>
      <c r="AB38" s="51">
        <f t="shared" si="12"/>
        <v>0.69757575757575752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2445</v>
      </c>
      <c r="E39" s="85">
        <f>SUM(E35:E38)+SUM(E28:E32)</f>
        <v>16943.800000000003</v>
      </c>
      <c r="F39" s="85">
        <f>SUM(F35:F38)+SUM(F28:F32)</f>
        <v>1298.3</v>
      </c>
      <c r="G39" s="86">
        <f>SUM(D39:F39)</f>
        <v>20687.100000000002</v>
      </c>
      <c r="H39" s="87">
        <f>SUM(H28:H32)+SUM(H35:H38)</f>
        <v>0</v>
      </c>
      <c r="I39" s="88">
        <f>SUM(I35:I38)+SUM(I28:I32)</f>
        <v>20687.099999999999</v>
      </c>
      <c r="J39" s="85">
        <f>SUM(J35:J38)+SUM(J28:J32)</f>
        <v>2368</v>
      </c>
      <c r="K39" s="85">
        <f>SUM(K35:K38)+SUM(K28:K32)</f>
        <v>16311</v>
      </c>
      <c r="L39" s="85">
        <f>SUM(L35:L38)+SUM(L28:L32)</f>
        <v>807</v>
      </c>
      <c r="M39" s="86">
        <f>SUM(J39:L39)</f>
        <v>19486</v>
      </c>
      <c r="N39" s="87">
        <f>SUM(N28:N32)+SUM(N35:N38)</f>
        <v>0</v>
      </c>
      <c r="O39" s="88">
        <f>SUM(O35:O38)+SUM(O28:O32)</f>
        <v>19486</v>
      </c>
      <c r="P39" s="85">
        <f>SUM(P35:P38)+SUM(P28:P32)</f>
        <v>1224.3</v>
      </c>
      <c r="Q39" s="85">
        <f>SUM(Q35:Q38)+SUM(Q28:Q32)</f>
        <v>8887.4</v>
      </c>
      <c r="R39" s="85">
        <f>SUM(R35:R38)+SUM(R28:R32)</f>
        <v>664.9</v>
      </c>
      <c r="S39" s="86">
        <f>SUM(P39:R39)</f>
        <v>10776.599999999999</v>
      </c>
      <c r="T39" s="87">
        <f>SUM(T28:T32)+SUM(T35:T38)</f>
        <v>0</v>
      </c>
      <c r="U39" s="88">
        <f>SUM(U35:U38)+SUM(U28:U32)</f>
        <v>10776.599999999999</v>
      </c>
      <c r="V39" s="85">
        <f>SUM(V35:V38)+SUM(V28:V32)</f>
        <v>2418</v>
      </c>
      <c r="W39" s="85">
        <f>SUM(W35:W38)+SUM(W28:W32)</f>
        <v>19107.8</v>
      </c>
      <c r="X39" s="85">
        <f>SUM(X35:X38)+SUM(X28:X32)</f>
        <v>808</v>
      </c>
      <c r="Y39" s="86">
        <f>SUM(V39:X39)</f>
        <v>22333.8</v>
      </c>
      <c r="Z39" s="87">
        <f>SUM(Z28:Z32)+SUM(Z35:Z38)</f>
        <v>0</v>
      </c>
      <c r="AA39" s="88">
        <f>SUM(AA35:AA38)+SUM(AA28:AA32)</f>
        <v>22333.800000000003</v>
      </c>
      <c r="AB39" s="89">
        <f t="shared" si="12"/>
        <v>1.1461459509391358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132</v>
      </c>
      <c r="E40" s="92">
        <f t="shared" si="21"/>
        <v>0</v>
      </c>
      <c r="F40" s="92">
        <f t="shared" si="21"/>
        <v>0</v>
      </c>
      <c r="G40" s="93">
        <f t="shared" si="21"/>
        <v>131.99999999999636</v>
      </c>
      <c r="H40" s="93">
        <f t="shared" si="21"/>
        <v>0</v>
      </c>
      <c r="I40" s="94">
        <f t="shared" si="21"/>
        <v>-296.20000000000073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205.70000000000005</v>
      </c>
      <c r="Q40" s="92">
        <f t="shared" si="21"/>
        <v>0</v>
      </c>
      <c r="R40" s="92">
        <f t="shared" si="21"/>
        <v>62.600000000000023</v>
      </c>
      <c r="S40" s="93">
        <f t="shared" si="21"/>
        <v>268.30000000000109</v>
      </c>
      <c r="T40" s="93">
        <f t="shared" si="21"/>
        <v>0</v>
      </c>
      <c r="U40" s="94">
        <f t="shared" si="21"/>
        <v>268.30000000000109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-2664.2000000000007</v>
      </c>
      <c r="J41" s="98"/>
      <c r="K41" s="99"/>
      <c r="L41" s="99"/>
      <c r="M41" s="100"/>
      <c r="N41" s="103"/>
      <c r="O41" s="102">
        <f>O40-J16</f>
        <v>-2368</v>
      </c>
      <c r="P41" s="98"/>
      <c r="Q41" s="99"/>
      <c r="R41" s="99"/>
      <c r="S41" s="100"/>
      <c r="T41" s="103"/>
      <c r="U41" s="102">
        <f>U40-P16</f>
        <v>-1022.6999999999989</v>
      </c>
      <c r="V41" s="98"/>
      <c r="W41" s="99"/>
      <c r="X41" s="99"/>
      <c r="Y41" s="100"/>
      <c r="Z41" s="103"/>
      <c r="AA41" s="102">
        <f>AA40-V16</f>
        <v>-2418</v>
      </c>
      <c r="AB41" s="21">
        <f t="shared" si="12"/>
        <v>1.0211148648648649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267.39999999999998</v>
      </c>
      <c r="E44" s="117">
        <v>267.39999999999998</v>
      </c>
      <c r="F44" s="118">
        <v>0</v>
      </c>
      <c r="G44" s="108"/>
      <c r="H44" s="108"/>
      <c r="I44" s="115"/>
      <c r="J44" s="116">
        <v>267.39999999999998</v>
      </c>
      <c r="K44" s="117">
        <v>267.39999999999998</v>
      </c>
      <c r="L44" s="118">
        <v>0</v>
      </c>
      <c r="M44" s="119"/>
      <c r="N44" s="119"/>
      <c r="O44" s="119"/>
      <c r="P44" s="116">
        <v>133.5</v>
      </c>
      <c r="Q44" s="117">
        <v>133.5</v>
      </c>
      <c r="R44" s="118">
        <v>0</v>
      </c>
      <c r="S44" s="3"/>
      <c r="T44" s="3"/>
      <c r="U44" s="3"/>
      <c r="V44" s="116">
        <v>267.39999999999998</v>
      </c>
      <c r="W44" s="117">
        <v>267.39999999999998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D50+E50-F50</f>
        <v>0</v>
      </c>
      <c r="H50" s="108"/>
      <c r="I50" s="3"/>
      <c r="J50" s="129"/>
      <c r="K50" s="129"/>
      <c r="L50" s="129"/>
      <c r="M50" s="130">
        <f>J50+K50-L50</f>
        <v>0</v>
      </c>
      <c r="N50" s="3"/>
      <c r="O50" s="3"/>
      <c r="P50" s="129"/>
      <c r="Q50" s="129"/>
      <c r="R50" s="129"/>
      <c r="S50" s="130">
        <f>P50+Q50-R50</f>
        <v>0</v>
      </c>
      <c r="T50" s="3"/>
      <c r="U50" s="3"/>
      <c r="V50" s="129"/>
      <c r="W50" s="129"/>
      <c r="X50" s="129"/>
      <c r="Y50" s="13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272.8</v>
      </c>
      <c r="E51" s="129">
        <v>347.4</v>
      </c>
      <c r="F51" s="129">
        <v>216.6</v>
      </c>
      <c r="G51" s="130">
        <f t="shared" ref="G51:G54" si="22">D51+E51-F51</f>
        <v>403.6</v>
      </c>
      <c r="H51" s="108"/>
      <c r="I51" s="3"/>
      <c r="J51" s="129">
        <v>291.39999999999998</v>
      </c>
      <c r="K51" s="129">
        <v>0</v>
      </c>
      <c r="L51" s="129">
        <v>0</v>
      </c>
      <c r="M51" s="130">
        <f t="shared" ref="M51:M54" si="23">J51+K51-L51</f>
        <v>291.39999999999998</v>
      </c>
      <c r="N51" s="3"/>
      <c r="O51" s="3"/>
      <c r="P51" s="129">
        <v>403.6</v>
      </c>
      <c r="Q51" s="129">
        <v>209.6</v>
      </c>
      <c r="R51" s="129">
        <v>229.7</v>
      </c>
      <c r="S51" s="130">
        <f t="shared" ref="S51:S54" si="24">P51+Q51-R51</f>
        <v>383.50000000000006</v>
      </c>
      <c r="T51" s="3"/>
      <c r="U51" s="3"/>
      <c r="V51" s="129">
        <v>383.5</v>
      </c>
      <c r="W51" s="129">
        <v>0</v>
      </c>
      <c r="X51" s="129">
        <v>0</v>
      </c>
      <c r="Y51" s="130">
        <f t="shared" ref="Y51:Y54" si="25">V51+W51-X51</f>
        <v>383.5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126.6</v>
      </c>
      <c r="E52" s="129">
        <v>391</v>
      </c>
      <c r="F52" s="129">
        <v>324.10000000000002</v>
      </c>
      <c r="G52" s="130">
        <f t="shared" si="22"/>
        <v>193.5</v>
      </c>
      <c r="H52" s="108"/>
      <c r="I52" s="3"/>
      <c r="J52" s="129">
        <v>191.6</v>
      </c>
      <c r="K52" s="129">
        <v>408.5</v>
      </c>
      <c r="L52" s="129">
        <v>347.4</v>
      </c>
      <c r="M52" s="130">
        <f t="shared" si="23"/>
        <v>252.70000000000005</v>
      </c>
      <c r="N52" s="3"/>
      <c r="O52" s="3"/>
      <c r="P52" s="129">
        <v>193.5</v>
      </c>
      <c r="Q52" s="129">
        <v>200</v>
      </c>
      <c r="R52" s="129">
        <v>133.5</v>
      </c>
      <c r="S52" s="130">
        <f t="shared" si="24"/>
        <v>260</v>
      </c>
      <c r="T52" s="3"/>
      <c r="U52" s="3"/>
      <c r="V52" s="129">
        <v>260</v>
      </c>
      <c r="W52" s="129">
        <v>390.9</v>
      </c>
      <c r="X52" s="129">
        <v>366.4</v>
      </c>
      <c r="Y52" s="130">
        <f t="shared" si="25"/>
        <v>284.5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185.5</v>
      </c>
      <c r="E53" s="129">
        <v>54</v>
      </c>
      <c r="F53" s="129">
        <v>231.9</v>
      </c>
      <c r="G53" s="130">
        <f t="shared" si="22"/>
        <v>7.5999999999999943</v>
      </c>
      <c r="H53" s="108"/>
      <c r="I53" s="3"/>
      <c r="J53" s="129">
        <v>239.5</v>
      </c>
      <c r="K53" s="129">
        <v>0</v>
      </c>
      <c r="L53" s="129">
        <v>0</v>
      </c>
      <c r="M53" s="130">
        <f t="shared" si="23"/>
        <v>239.5</v>
      </c>
      <c r="N53" s="3"/>
      <c r="O53" s="3"/>
      <c r="P53" s="129">
        <v>7.6</v>
      </c>
      <c r="Q53" s="129">
        <v>106.1</v>
      </c>
      <c r="R53" s="129">
        <v>0</v>
      </c>
      <c r="S53" s="130">
        <f t="shared" si="24"/>
        <v>113.69999999999999</v>
      </c>
      <c r="T53" s="3"/>
      <c r="U53" s="3"/>
      <c r="V53" s="129">
        <v>113.7</v>
      </c>
      <c r="W53" s="129">
        <v>0</v>
      </c>
      <c r="X53" s="129">
        <v>0</v>
      </c>
      <c r="Y53" s="130">
        <f t="shared" si="25"/>
        <v>113.7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102.8</v>
      </c>
      <c r="E54" s="129">
        <v>253.2</v>
      </c>
      <c r="F54" s="129">
        <v>234.9</v>
      </c>
      <c r="G54" s="130">
        <f t="shared" si="22"/>
        <v>121.1</v>
      </c>
      <c r="H54" s="108"/>
      <c r="I54" s="3"/>
      <c r="J54" s="129">
        <v>15.5</v>
      </c>
      <c r="K54" s="129">
        <v>245</v>
      </c>
      <c r="L54" s="129">
        <v>245.5</v>
      </c>
      <c r="M54" s="130">
        <f t="shared" si="23"/>
        <v>15</v>
      </c>
      <c r="N54" s="3"/>
      <c r="O54" s="3"/>
      <c r="P54" s="129">
        <v>121.1</v>
      </c>
      <c r="Q54" s="129">
        <v>130.5</v>
      </c>
      <c r="R54" s="129">
        <v>167.5</v>
      </c>
      <c r="S54" s="130">
        <f t="shared" si="24"/>
        <v>84.1</v>
      </c>
      <c r="T54" s="3"/>
      <c r="U54" s="3"/>
      <c r="V54" s="129">
        <v>84.1</v>
      </c>
      <c r="W54" s="129">
        <v>279</v>
      </c>
      <c r="X54" s="129">
        <v>240</v>
      </c>
      <c r="Y54" s="130">
        <f t="shared" si="25"/>
        <v>123.10000000000002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35.15</v>
      </c>
      <c r="E57" s="132">
        <v>35.909999999999997</v>
      </c>
      <c r="F57" s="108"/>
      <c r="G57" s="108"/>
      <c r="H57" s="108"/>
      <c r="I57" s="115"/>
      <c r="J57" s="132">
        <v>36.1</v>
      </c>
      <c r="K57" s="108"/>
      <c r="L57" s="108"/>
      <c r="M57" s="108"/>
      <c r="N57" s="108"/>
      <c r="O57" s="115"/>
      <c r="P57" s="132">
        <v>35.869999999999997</v>
      </c>
      <c r="Q57" s="115"/>
      <c r="R57" s="115"/>
      <c r="S57" s="115"/>
      <c r="T57" s="115"/>
      <c r="U57" s="115"/>
      <c r="V57" s="132">
        <v>36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 t="s">
        <v>191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43684</v>
      </c>
      <c r="D91" s="156" t="s">
        <v>105</v>
      </c>
      <c r="E91" s="313" t="s">
        <v>192</v>
      </c>
      <c r="F91" s="313"/>
      <c r="G91" s="313"/>
      <c r="H91" s="156"/>
      <c r="I91" s="156" t="s">
        <v>107</v>
      </c>
      <c r="J91" s="314" t="s">
        <v>193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15" priority="3" operator="equal">
      <formula>0</formula>
    </cfRule>
    <cfRule type="containsErrors" dxfId="14" priority="4">
      <formula>ISERROR(AB15)</formula>
    </cfRule>
  </conditionalFormatting>
  <conditionalFormatting sqref="AB28:AB41">
    <cfRule type="cellIs" dxfId="13" priority="1" operator="equal">
      <formula>0</formula>
    </cfRule>
    <cfRule type="containsErrors" dxfId="12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80" zoomScaleNormal="80" zoomScaleSheetLayoutView="80" workbookViewId="0">
      <selection activeCell="H43" sqref="H4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194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72744260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195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7898</v>
      </c>
      <c r="G15" s="18">
        <f>SUM(D15:F15)</f>
        <v>7898</v>
      </c>
      <c r="H15" s="19">
        <v>89</v>
      </c>
      <c r="I15" s="20">
        <f>G15+H15</f>
        <v>7987</v>
      </c>
      <c r="J15" s="15"/>
      <c r="K15" s="16"/>
      <c r="L15" s="17">
        <v>8115</v>
      </c>
      <c r="M15" s="18">
        <f t="shared" ref="M15:M23" si="0">SUM(J15:L15)</f>
        <v>8115</v>
      </c>
      <c r="N15" s="19">
        <v>70</v>
      </c>
      <c r="O15" s="20">
        <f>M15+N15</f>
        <v>8185</v>
      </c>
      <c r="P15" s="15"/>
      <c r="Q15" s="16"/>
      <c r="R15" s="17">
        <v>4415</v>
      </c>
      <c r="S15" s="18">
        <f>SUM(P15:R15)</f>
        <v>4415</v>
      </c>
      <c r="T15" s="19">
        <v>44</v>
      </c>
      <c r="U15" s="20">
        <f>S15+T15</f>
        <v>4459</v>
      </c>
      <c r="V15" s="15"/>
      <c r="W15" s="16"/>
      <c r="X15" s="17">
        <v>8400</v>
      </c>
      <c r="Y15" s="18">
        <f>SUM(V15:X15)</f>
        <v>8400</v>
      </c>
      <c r="Z15" s="19">
        <v>101</v>
      </c>
      <c r="AA15" s="20">
        <f>Y15+Z15</f>
        <v>8501</v>
      </c>
      <c r="AB15" s="21">
        <f>(AA15/O15)</f>
        <v>1.0386072083078803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13647</v>
      </c>
      <c r="E16" s="25"/>
      <c r="F16" s="25"/>
      <c r="G16" s="26">
        <f t="shared" ref="G16:G23" si="1">SUM(D16:F16)</f>
        <v>13647</v>
      </c>
      <c r="H16" s="27"/>
      <c r="I16" s="20">
        <f t="shared" ref="I16:I23" si="2">G16+H16</f>
        <v>13647</v>
      </c>
      <c r="J16" s="24">
        <v>13288</v>
      </c>
      <c r="K16" s="25"/>
      <c r="L16" s="25"/>
      <c r="M16" s="26">
        <f t="shared" si="0"/>
        <v>13288</v>
      </c>
      <c r="N16" s="27"/>
      <c r="O16" s="20">
        <f t="shared" ref="O16:O20" si="3">M16+N16</f>
        <v>13288</v>
      </c>
      <c r="P16" s="24">
        <v>7885</v>
      </c>
      <c r="Q16" s="25"/>
      <c r="R16" s="25"/>
      <c r="S16" s="26">
        <f t="shared" ref="S16:S23" si="4">SUM(P16:R16)</f>
        <v>7885</v>
      </c>
      <c r="T16" s="27"/>
      <c r="U16" s="20">
        <f t="shared" ref="U16:U20" si="5">S16+T16</f>
        <v>7885</v>
      </c>
      <c r="V16" s="24">
        <v>13604</v>
      </c>
      <c r="W16" s="25"/>
      <c r="X16" s="25"/>
      <c r="Y16" s="26">
        <f t="shared" ref="Y16:Y23" si="6">SUM(V16:X16)</f>
        <v>13604</v>
      </c>
      <c r="Z16" s="27"/>
      <c r="AA16" s="20">
        <f t="shared" ref="AA16:AA20" si="7">Y16+Z16</f>
        <v>13604</v>
      </c>
      <c r="AB16" s="21">
        <f t="shared" ref="AB16:AB24" si="8">(AA16/O16)</f>
        <v>1.0237808549066827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50</v>
      </c>
      <c r="E17" s="30"/>
      <c r="F17" s="30"/>
      <c r="G17" s="26">
        <f t="shared" si="1"/>
        <v>50</v>
      </c>
      <c r="H17" s="31"/>
      <c r="I17" s="20">
        <f t="shared" si="2"/>
        <v>50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130</v>
      </c>
      <c r="Q17" s="30"/>
      <c r="R17" s="30"/>
      <c r="S17" s="26">
        <f t="shared" si="4"/>
        <v>130</v>
      </c>
      <c r="T17" s="31"/>
      <c r="U17" s="20">
        <f t="shared" si="5"/>
        <v>130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80181</v>
      </c>
      <c r="F18" s="30"/>
      <c r="G18" s="26">
        <f t="shared" si="1"/>
        <v>80181</v>
      </c>
      <c r="H18" s="19">
        <v>0</v>
      </c>
      <c r="I18" s="20">
        <f t="shared" si="2"/>
        <v>80181</v>
      </c>
      <c r="J18" s="33"/>
      <c r="K18" s="34">
        <v>86652</v>
      </c>
      <c r="L18" s="30"/>
      <c r="M18" s="26">
        <f t="shared" si="0"/>
        <v>86652</v>
      </c>
      <c r="N18" s="19">
        <v>0</v>
      </c>
      <c r="O18" s="20">
        <f t="shared" si="3"/>
        <v>86652</v>
      </c>
      <c r="P18" s="33"/>
      <c r="Q18" s="34">
        <v>44890</v>
      </c>
      <c r="R18" s="30"/>
      <c r="S18" s="26">
        <f t="shared" si="4"/>
        <v>44890</v>
      </c>
      <c r="T18" s="19">
        <v>0</v>
      </c>
      <c r="U18" s="20">
        <f t="shared" si="5"/>
        <v>44890</v>
      </c>
      <c r="V18" s="33"/>
      <c r="W18" s="34">
        <v>99542</v>
      </c>
      <c r="X18" s="30"/>
      <c r="Y18" s="26">
        <f t="shared" si="6"/>
        <v>99542</v>
      </c>
      <c r="Z18" s="19">
        <v>0</v>
      </c>
      <c r="AA18" s="20">
        <f t="shared" si="7"/>
        <v>99542</v>
      </c>
      <c r="AB18" s="21">
        <f t="shared" si="8"/>
        <v>1.1487559433134837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>
        <v>7</v>
      </c>
      <c r="G19" s="26">
        <f t="shared" si="1"/>
        <v>7</v>
      </c>
      <c r="H19" s="38">
        <v>0</v>
      </c>
      <c r="I19" s="20">
        <f t="shared" si="2"/>
        <v>7</v>
      </c>
      <c r="J19" s="36"/>
      <c r="K19" s="30"/>
      <c r="L19" s="37">
        <v>10</v>
      </c>
      <c r="M19" s="26">
        <f t="shared" si="0"/>
        <v>10</v>
      </c>
      <c r="N19" s="38">
        <v>0</v>
      </c>
      <c r="O19" s="20">
        <f t="shared" si="3"/>
        <v>10</v>
      </c>
      <c r="P19" s="36"/>
      <c r="Q19" s="30"/>
      <c r="R19" s="37">
        <v>55</v>
      </c>
      <c r="S19" s="26">
        <f t="shared" si="4"/>
        <v>55</v>
      </c>
      <c r="T19" s="38">
        <v>0</v>
      </c>
      <c r="U19" s="20">
        <f t="shared" si="5"/>
        <v>55</v>
      </c>
      <c r="V19" s="36"/>
      <c r="W19" s="30"/>
      <c r="X19" s="37">
        <v>111</v>
      </c>
      <c r="Y19" s="26">
        <f t="shared" si="6"/>
        <v>111</v>
      </c>
      <c r="Z19" s="38">
        <v>0</v>
      </c>
      <c r="AA19" s="20">
        <f t="shared" si="7"/>
        <v>111</v>
      </c>
      <c r="AB19" s="21">
        <f t="shared" si="8"/>
        <v>11.1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101</v>
      </c>
      <c r="G20" s="26">
        <f>SUM(D20:F20)</f>
        <v>101</v>
      </c>
      <c r="H20" s="38">
        <v>0</v>
      </c>
      <c r="I20" s="20">
        <f t="shared" si="2"/>
        <v>101</v>
      </c>
      <c r="J20" s="33"/>
      <c r="K20" s="25"/>
      <c r="L20" s="40">
        <v>100</v>
      </c>
      <c r="M20" s="26">
        <f t="shared" si="0"/>
        <v>100</v>
      </c>
      <c r="N20" s="38">
        <v>0</v>
      </c>
      <c r="O20" s="20">
        <f t="shared" si="3"/>
        <v>100</v>
      </c>
      <c r="P20" s="33"/>
      <c r="Q20" s="25"/>
      <c r="R20" s="40">
        <v>104</v>
      </c>
      <c r="S20" s="26">
        <f t="shared" si="4"/>
        <v>104</v>
      </c>
      <c r="T20" s="38">
        <v>0</v>
      </c>
      <c r="U20" s="20">
        <f t="shared" si="5"/>
        <v>104</v>
      </c>
      <c r="V20" s="33"/>
      <c r="W20" s="25"/>
      <c r="X20" s="40">
        <v>150</v>
      </c>
      <c r="Y20" s="26">
        <f t="shared" si="6"/>
        <v>150</v>
      </c>
      <c r="Z20" s="38">
        <v>0</v>
      </c>
      <c r="AA20" s="20">
        <f t="shared" si="7"/>
        <v>150</v>
      </c>
      <c r="AB20" s="21">
        <f t="shared" si="8"/>
        <v>1.5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142</v>
      </c>
      <c r="G21" s="26">
        <f t="shared" si="1"/>
        <v>142</v>
      </c>
      <c r="H21" s="42">
        <v>71</v>
      </c>
      <c r="I21" s="20">
        <f>G21+H21</f>
        <v>213</v>
      </c>
      <c r="J21" s="33"/>
      <c r="K21" s="25"/>
      <c r="L21" s="40">
        <v>116</v>
      </c>
      <c r="M21" s="26">
        <f t="shared" si="0"/>
        <v>116</v>
      </c>
      <c r="N21" s="42">
        <v>60</v>
      </c>
      <c r="O21" s="20">
        <f>M21+N21</f>
        <v>176</v>
      </c>
      <c r="P21" s="33"/>
      <c r="Q21" s="25"/>
      <c r="R21" s="40">
        <v>58</v>
      </c>
      <c r="S21" s="26">
        <f t="shared" si="4"/>
        <v>58</v>
      </c>
      <c r="T21" s="42">
        <v>26</v>
      </c>
      <c r="U21" s="20">
        <f>S21+T21</f>
        <v>84</v>
      </c>
      <c r="V21" s="33"/>
      <c r="W21" s="25"/>
      <c r="X21" s="40">
        <v>102</v>
      </c>
      <c r="Y21" s="26">
        <f t="shared" si="6"/>
        <v>102</v>
      </c>
      <c r="Z21" s="42">
        <v>60</v>
      </c>
      <c r="AA21" s="20">
        <f>Y21+Z21</f>
        <v>162</v>
      </c>
      <c r="AB21" s="21">
        <f t="shared" si="8"/>
        <v>0.92045454545454541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>
        <v>0</v>
      </c>
      <c r="G22" s="26">
        <f t="shared" si="1"/>
        <v>0</v>
      </c>
      <c r="H22" s="42">
        <v>0</v>
      </c>
      <c r="I22" s="20">
        <f t="shared" si="2"/>
        <v>0</v>
      </c>
      <c r="J22" s="33"/>
      <c r="K22" s="25"/>
      <c r="L22" s="40">
        <v>0</v>
      </c>
      <c r="M22" s="26">
        <f t="shared" si="0"/>
        <v>0</v>
      </c>
      <c r="N22" s="42">
        <v>0</v>
      </c>
      <c r="O22" s="20">
        <f t="shared" ref="O22:O23" si="9">M22+N22</f>
        <v>0</v>
      </c>
      <c r="P22" s="33"/>
      <c r="Q22" s="25"/>
      <c r="R22" s="40">
        <v>0</v>
      </c>
      <c r="S22" s="26">
        <f t="shared" si="4"/>
        <v>0</v>
      </c>
      <c r="T22" s="42">
        <v>0</v>
      </c>
      <c r="U22" s="20">
        <f t="shared" ref="U22:U23" si="10">S22+T22</f>
        <v>0</v>
      </c>
      <c r="V22" s="33"/>
      <c r="W22" s="25"/>
      <c r="X22" s="40"/>
      <c r="Y22" s="26">
        <f t="shared" si="6"/>
        <v>0</v>
      </c>
      <c r="Z22" s="42">
        <v>0</v>
      </c>
      <c r="AA22" s="20">
        <f t="shared" ref="AA22:AA23" si="11">Y22+Z22</f>
        <v>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>
        <v>0</v>
      </c>
      <c r="G23" s="48">
        <f t="shared" si="1"/>
        <v>0</v>
      </c>
      <c r="H23" s="49">
        <v>0</v>
      </c>
      <c r="I23" s="50">
        <f t="shared" si="2"/>
        <v>0</v>
      </c>
      <c r="J23" s="45"/>
      <c r="K23" s="46"/>
      <c r="L23" s="47">
        <v>0</v>
      </c>
      <c r="M23" s="48">
        <f t="shared" si="0"/>
        <v>0</v>
      </c>
      <c r="N23" s="49">
        <v>0</v>
      </c>
      <c r="O23" s="50">
        <f t="shared" si="9"/>
        <v>0</v>
      </c>
      <c r="P23" s="45"/>
      <c r="Q23" s="46"/>
      <c r="R23" s="47">
        <v>0</v>
      </c>
      <c r="S23" s="48">
        <f t="shared" si="4"/>
        <v>0</v>
      </c>
      <c r="T23" s="49">
        <v>0</v>
      </c>
      <c r="U23" s="50">
        <f t="shared" si="10"/>
        <v>0</v>
      </c>
      <c r="V23" s="45"/>
      <c r="W23" s="46"/>
      <c r="X23" s="47"/>
      <c r="Y23" s="48">
        <f t="shared" si="6"/>
        <v>0</v>
      </c>
      <c r="Z23" s="49">
        <v>0</v>
      </c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13697</v>
      </c>
      <c r="E24" s="55">
        <f>SUM(E15:E21)</f>
        <v>80181</v>
      </c>
      <c r="F24" s="55">
        <f>SUM(F15:F21)</f>
        <v>8148</v>
      </c>
      <c r="G24" s="56">
        <f>SUM(D24:F24)</f>
        <v>102026</v>
      </c>
      <c r="H24" s="57">
        <f>SUM(H15:H21)</f>
        <v>160</v>
      </c>
      <c r="I24" s="57">
        <f>SUM(I15:I21)</f>
        <v>102186</v>
      </c>
      <c r="J24" s="54">
        <f>SUM(J15:J21)</f>
        <v>13288</v>
      </c>
      <c r="K24" s="55">
        <f>SUM(K15:K21)</f>
        <v>86652</v>
      </c>
      <c r="L24" s="55">
        <f>SUM(L15:L21)</f>
        <v>8341</v>
      </c>
      <c r="M24" s="56">
        <f>SUM(J24:L24)</f>
        <v>108281</v>
      </c>
      <c r="N24" s="57">
        <f>SUM(N15:N23)</f>
        <v>130</v>
      </c>
      <c r="O24" s="57">
        <f>SUM(O15:O21)</f>
        <v>108411</v>
      </c>
      <c r="P24" s="54">
        <f>SUM(P15:P21)</f>
        <v>8015</v>
      </c>
      <c r="Q24" s="55">
        <f>SUM(Q15:Q21)</f>
        <v>44890</v>
      </c>
      <c r="R24" s="55">
        <f>SUM(R15:R21)</f>
        <v>4632</v>
      </c>
      <c r="S24" s="56">
        <f>SUM(P24:R24)</f>
        <v>57537</v>
      </c>
      <c r="T24" s="57">
        <f>SUM(T15:T23)</f>
        <v>70</v>
      </c>
      <c r="U24" s="57">
        <f>SUM(U15:U21)</f>
        <v>57607</v>
      </c>
      <c r="V24" s="54">
        <f>SUM(V15:V21)</f>
        <v>13604</v>
      </c>
      <c r="W24" s="55">
        <f>SUM(W15:W21)</f>
        <v>99542</v>
      </c>
      <c r="X24" s="55">
        <f>SUM(X15:X21)</f>
        <v>8763</v>
      </c>
      <c r="Y24" s="56">
        <f>SUM(V24:X24)</f>
        <v>121909</v>
      </c>
      <c r="Z24" s="57">
        <f>SUM(Z15:Z23)</f>
        <v>161</v>
      </c>
      <c r="AA24" s="57">
        <f>SUM(AA15:AA21)</f>
        <v>122070</v>
      </c>
      <c r="AB24" s="58">
        <f t="shared" si="8"/>
        <v>1.1259927498132107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2282</v>
      </c>
      <c r="E28" s="65">
        <v>0</v>
      </c>
      <c r="F28" s="65">
        <v>760</v>
      </c>
      <c r="G28" s="66">
        <f>SUM(D28:F28)</f>
        <v>3042</v>
      </c>
      <c r="H28" s="66"/>
      <c r="I28" s="67">
        <f>G28+H28</f>
        <v>3042</v>
      </c>
      <c r="J28" s="68">
        <v>1736</v>
      </c>
      <c r="K28" s="65">
        <v>0</v>
      </c>
      <c r="L28" s="65">
        <v>1274</v>
      </c>
      <c r="M28" s="66">
        <f>SUM(J28:L28)</f>
        <v>3010</v>
      </c>
      <c r="N28" s="66">
        <v>0</v>
      </c>
      <c r="O28" s="67">
        <f>M28+N28</f>
        <v>3010</v>
      </c>
      <c r="P28" s="68">
        <v>792</v>
      </c>
      <c r="Q28" s="65">
        <v>0</v>
      </c>
      <c r="R28" s="65">
        <v>357</v>
      </c>
      <c r="S28" s="66">
        <f>SUM(P28:R28)</f>
        <v>1149</v>
      </c>
      <c r="T28" s="66">
        <v>0</v>
      </c>
      <c r="U28" s="67">
        <f>S28+T28</f>
        <v>1149</v>
      </c>
      <c r="V28" s="68">
        <v>1611</v>
      </c>
      <c r="W28" s="65">
        <v>0</v>
      </c>
      <c r="X28" s="65">
        <v>1163</v>
      </c>
      <c r="Y28" s="66">
        <f>SUM(V28:X28)</f>
        <v>2774</v>
      </c>
      <c r="Z28" s="66">
        <v>0</v>
      </c>
      <c r="AA28" s="67">
        <f>Y28+Z28</f>
        <v>2774</v>
      </c>
      <c r="AB28" s="21">
        <f t="shared" ref="AB28:AB41" si="12">(AA28/O28)</f>
        <v>0.92159468438538206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550</v>
      </c>
      <c r="E29" s="70">
        <v>255</v>
      </c>
      <c r="F29" s="70">
        <v>6650</v>
      </c>
      <c r="G29" s="71">
        <f t="shared" ref="G29:G38" si="13">SUM(D29:F29)</f>
        <v>7455</v>
      </c>
      <c r="H29" s="72">
        <v>2</v>
      </c>
      <c r="I29" s="20">
        <f t="shared" ref="I29:I38" si="14">G29+H29</f>
        <v>7457</v>
      </c>
      <c r="J29" s="73">
        <v>500</v>
      </c>
      <c r="K29" s="70">
        <v>400</v>
      </c>
      <c r="L29" s="70">
        <v>6400</v>
      </c>
      <c r="M29" s="71">
        <f t="shared" ref="M29:M38" si="15">SUM(J29:L29)</f>
        <v>7300</v>
      </c>
      <c r="N29" s="72">
        <v>1</v>
      </c>
      <c r="O29" s="20">
        <f t="shared" ref="O29:O38" si="16">M29+N29</f>
        <v>7301</v>
      </c>
      <c r="P29" s="73">
        <v>291</v>
      </c>
      <c r="Q29" s="70">
        <v>52</v>
      </c>
      <c r="R29" s="70">
        <v>3622</v>
      </c>
      <c r="S29" s="71">
        <f t="shared" ref="S29:S38" si="17">SUM(P29:R29)</f>
        <v>3965</v>
      </c>
      <c r="T29" s="72">
        <v>1</v>
      </c>
      <c r="U29" s="20">
        <f t="shared" ref="U29:U38" si="18">S29+T29</f>
        <v>3966</v>
      </c>
      <c r="V29" s="73">
        <v>500</v>
      </c>
      <c r="W29" s="70">
        <v>600</v>
      </c>
      <c r="X29" s="70">
        <v>6400</v>
      </c>
      <c r="Y29" s="71">
        <f t="shared" ref="Y29:Y38" si="19">SUM(V29:X29)</f>
        <v>7500</v>
      </c>
      <c r="Z29" s="72">
        <v>2</v>
      </c>
      <c r="AA29" s="20">
        <f t="shared" ref="AA29:AA38" si="20">Y29+Z29</f>
        <v>7502</v>
      </c>
      <c r="AB29" s="21">
        <f t="shared" si="12"/>
        <v>1.0275304752773593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6139</v>
      </c>
      <c r="E30" s="74">
        <v>0</v>
      </c>
      <c r="F30" s="74">
        <v>0</v>
      </c>
      <c r="G30" s="71">
        <f t="shared" si="13"/>
        <v>6139</v>
      </c>
      <c r="H30" s="71">
        <v>29</v>
      </c>
      <c r="I30" s="20">
        <f t="shared" si="14"/>
        <v>6168</v>
      </c>
      <c r="J30" s="75">
        <v>7200</v>
      </c>
      <c r="K30" s="74">
        <v>0</v>
      </c>
      <c r="L30" s="74">
        <v>0</v>
      </c>
      <c r="M30" s="71">
        <f t="shared" si="15"/>
        <v>7200</v>
      </c>
      <c r="N30" s="71">
        <v>16</v>
      </c>
      <c r="O30" s="20">
        <f t="shared" si="16"/>
        <v>7216</v>
      </c>
      <c r="P30" s="75">
        <v>3913</v>
      </c>
      <c r="Q30" s="74">
        <v>0</v>
      </c>
      <c r="R30" s="74">
        <v>0</v>
      </c>
      <c r="S30" s="71">
        <f t="shared" si="17"/>
        <v>3913</v>
      </c>
      <c r="T30" s="71">
        <v>16</v>
      </c>
      <c r="U30" s="20">
        <f t="shared" si="18"/>
        <v>3929</v>
      </c>
      <c r="V30" s="75">
        <v>7200</v>
      </c>
      <c r="W30" s="74">
        <v>0</v>
      </c>
      <c r="X30" s="74">
        <v>0</v>
      </c>
      <c r="Y30" s="71">
        <f t="shared" si="19"/>
        <v>7200</v>
      </c>
      <c r="Z30" s="71">
        <v>34</v>
      </c>
      <c r="AA30" s="20">
        <f t="shared" si="20"/>
        <v>7234</v>
      </c>
      <c r="AB30" s="21">
        <f t="shared" si="12"/>
        <v>1.0024944567627494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1770</v>
      </c>
      <c r="E31" s="74">
        <v>5</v>
      </c>
      <c r="F31" s="74">
        <v>258</v>
      </c>
      <c r="G31" s="71">
        <f t="shared" si="13"/>
        <v>2033</v>
      </c>
      <c r="H31" s="71"/>
      <c r="I31" s="20">
        <f t="shared" si="14"/>
        <v>2033</v>
      </c>
      <c r="J31" s="75">
        <v>1400</v>
      </c>
      <c r="K31" s="74">
        <v>550</v>
      </c>
      <c r="L31" s="74">
        <v>367</v>
      </c>
      <c r="M31" s="71">
        <f t="shared" si="15"/>
        <v>2317</v>
      </c>
      <c r="N31" s="71">
        <v>0</v>
      </c>
      <c r="O31" s="20">
        <f t="shared" si="16"/>
        <v>2317</v>
      </c>
      <c r="P31" s="75">
        <v>878</v>
      </c>
      <c r="Q31" s="74">
        <v>595</v>
      </c>
      <c r="R31" s="74">
        <v>232</v>
      </c>
      <c r="S31" s="71">
        <f t="shared" si="17"/>
        <v>1705</v>
      </c>
      <c r="T31" s="71">
        <v>0</v>
      </c>
      <c r="U31" s="20">
        <f t="shared" si="18"/>
        <v>1705</v>
      </c>
      <c r="V31" s="75">
        <v>1200</v>
      </c>
      <c r="W31" s="74">
        <v>800</v>
      </c>
      <c r="X31" s="74">
        <v>700</v>
      </c>
      <c r="Y31" s="71">
        <f t="shared" si="19"/>
        <v>2700</v>
      </c>
      <c r="Z31" s="71">
        <v>0</v>
      </c>
      <c r="AA31" s="20">
        <f t="shared" si="20"/>
        <v>2700</v>
      </c>
      <c r="AB31" s="21">
        <f t="shared" si="12"/>
        <v>1.1652999568407423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690</v>
      </c>
      <c r="E32" s="74">
        <v>58482</v>
      </c>
      <c r="F32" s="74">
        <v>0</v>
      </c>
      <c r="G32" s="71">
        <f t="shared" si="13"/>
        <v>59172</v>
      </c>
      <c r="H32" s="71"/>
      <c r="I32" s="20">
        <f t="shared" si="14"/>
        <v>59172</v>
      </c>
      <c r="J32" s="77">
        <v>500</v>
      </c>
      <c r="K32" s="74">
        <v>62236</v>
      </c>
      <c r="L32" s="74">
        <v>0</v>
      </c>
      <c r="M32" s="71">
        <f t="shared" si="15"/>
        <v>62736</v>
      </c>
      <c r="N32" s="71">
        <v>0</v>
      </c>
      <c r="O32" s="20">
        <f t="shared" si="16"/>
        <v>62736</v>
      </c>
      <c r="P32" s="77">
        <v>128</v>
      </c>
      <c r="Q32" s="74">
        <v>32376</v>
      </c>
      <c r="R32" s="74">
        <v>0</v>
      </c>
      <c r="S32" s="71">
        <f t="shared" si="17"/>
        <v>32504</v>
      </c>
      <c r="T32" s="71">
        <v>0</v>
      </c>
      <c r="U32" s="20">
        <f t="shared" si="18"/>
        <v>32504</v>
      </c>
      <c r="V32" s="77">
        <v>700</v>
      </c>
      <c r="W32" s="74">
        <f>SUM(W33:W34)</f>
        <v>71190</v>
      </c>
      <c r="X32" s="74">
        <v>0</v>
      </c>
      <c r="Y32" s="71">
        <f t="shared" si="19"/>
        <v>71890</v>
      </c>
      <c r="Z32" s="71">
        <v>0</v>
      </c>
      <c r="AA32" s="20">
        <f t="shared" si="20"/>
        <v>71890</v>
      </c>
      <c r="AB32" s="21">
        <f t="shared" si="12"/>
        <v>1.1459130323896964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690</v>
      </c>
      <c r="E33" s="74">
        <v>58372</v>
      </c>
      <c r="F33" s="74">
        <v>0</v>
      </c>
      <c r="G33" s="71">
        <f t="shared" si="13"/>
        <v>59062</v>
      </c>
      <c r="H33" s="71"/>
      <c r="I33" s="20">
        <f t="shared" si="14"/>
        <v>59062</v>
      </c>
      <c r="J33" s="77">
        <v>500</v>
      </c>
      <c r="K33" s="74">
        <v>62136</v>
      </c>
      <c r="L33" s="74">
        <v>0</v>
      </c>
      <c r="M33" s="71">
        <f t="shared" si="15"/>
        <v>62636</v>
      </c>
      <c r="N33" s="71">
        <v>0</v>
      </c>
      <c r="O33" s="20">
        <f t="shared" si="16"/>
        <v>62636</v>
      </c>
      <c r="P33" s="77">
        <v>128</v>
      </c>
      <c r="Q33" s="74">
        <v>31958</v>
      </c>
      <c r="R33" s="74">
        <v>0</v>
      </c>
      <c r="S33" s="71">
        <f t="shared" si="17"/>
        <v>32086</v>
      </c>
      <c r="T33" s="71">
        <v>0</v>
      </c>
      <c r="U33" s="20">
        <f t="shared" si="18"/>
        <v>32086</v>
      </c>
      <c r="V33" s="77">
        <v>700</v>
      </c>
      <c r="W33" s="74">
        <v>70350</v>
      </c>
      <c r="X33" s="74">
        <v>0</v>
      </c>
      <c r="Y33" s="71">
        <f t="shared" si="19"/>
        <v>71050</v>
      </c>
      <c r="Z33" s="71">
        <v>0</v>
      </c>
      <c r="AA33" s="20">
        <f t="shared" si="20"/>
        <v>71050</v>
      </c>
      <c r="AB33" s="21">
        <f t="shared" si="12"/>
        <v>1.1343316942333483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>
        <v>0</v>
      </c>
      <c r="E34" s="74">
        <v>110</v>
      </c>
      <c r="F34" s="74">
        <v>0</v>
      </c>
      <c r="G34" s="71">
        <f t="shared" si="13"/>
        <v>110</v>
      </c>
      <c r="H34" s="71"/>
      <c r="I34" s="20">
        <f t="shared" si="14"/>
        <v>110</v>
      </c>
      <c r="J34" s="77">
        <v>0</v>
      </c>
      <c r="K34" s="74">
        <v>100</v>
      </c>
      <c r="L34" s="74">
        <v>0</v>
      </c>
      <c r="M34" s="71">
        <f>SUM(J34:L34)</f>
        <v>100</v>
      </c>
      <c r="N34" s="71">
        <v>0</v>
      </c>
      <c r="O34" s="20">
        <f t="shared" si="16"/>
        <v>100</v>
      </c>
      <c r="P34" s="77">
        <v>0</v>
      </c>
      <c r="Q34" s="74">
        <v>418</v>
      </c>
      <c r="R34" s="74">
        <v>0</v>
      </c>
      <c r="S34" s="71">
        <f t="shared" si="17"/>
        <v>418</v>
      </c>
      <c r="T34" s="71">
        <v>0</v>
      </c>
      <c r="U34" s="20">
        <f t="shared" si="18"/>
        <v>418</v>
      </c>
      <c r="V34" s="77">
        <v>0</v>
      </c>
      <c r="W34" s="74">
        <v>840</v>
      </c>
      <c r="X34" s="74">
        <v>0</v>
      </c>
      <c r="Y34" s="71">
        <f t="shared" si="19"/>
        <v>840</v>
      </c>
      <c r="Z34" s="71">
        <v>0</v>
      </c>
      <c r="AA34" s="20">
        <f t="shared" si="20"/>
        <v>840</v>
      </c>
      <c r="AB34" s="21">
        <f t="shared" si="12"/>
        <v>8.4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244</v>
      </c>
      <c r="E35" s="74">
        <v>19974</v>
      </c>
      <c r="F35" s="74">
        <v>0</v>
      </c>
      <c r="G35" s="71">
        <f t="shared" si="13"/>
        <v>20218</v>
      </c>
      <c r="H35" s="71"/>
      <c r="I35" s="20">
        <f t="shared" si="14"/>
        <v>20218</v>
      </c>
      <c r="J35" s="77">
        <v>250</v>
      </c>
      <c r="K35" s="74">
        <v>21784</v>
      </c>
      <c r="L35" s="74">
        <v>0</v>
      </c>
      <c r="M35" s="71">
        <f t="shared" si="15"/>
        <v>22034</v>
      </c>
      <c r="N35" s="71">
        <v>0</v>
      </c>
      <c r="O35" s="20">
        <f t="shared" si="16"/>
        <v>22034</v>
      </c>
      <c r="P35" s="77">
        <v>48</v>
      </c>
      <c r="Q35" s="74">
        <v>11142</v>
      </c>
      <c r="R35" s="74">
        <v>0</v>
      </c>
      <c r="S35" s="71">
        <f t="shared" si="17"/>
        <v>11190</v>
      </c>
      <c r="T35" s="71">
        <v>0</v>
      </c>
      <c r="U35" s="20">
        <f t="shared" si="18"/>
        <v>11190</v>
      </c>
      <c r="V35" s="77">
        <v>240</v>
      </c>
      <c r="W35" s="74">
        <v>24252</v>
      </c>
      <c r="X35" s="74">
        <v>0</v>
      </c>
      <c r="Y35" s="71">
        <f t="shared" si="19"/>
        <v>24492</v>
      </c>
      <c r="Z35" s="71">
        <v>0</v>
      </c>
      <c r="AA35" s="20">
        <f t="shared" si="20"/>
        <v>24492</v>
      </c>
      <c r="AB35" s="21">
        <f t="shared" si="12"/>
        <v>1.111554869746755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>
        <v>0</v>
      </c>
      <c r="E36" s="74">
        <v>0</v>
      </c>
      <c r="F36" s="74">
        <v>0</v>
      </c>
      <c r="G36" s="71">
        <f t="shared" si="13"/>
        <v>0</v>
      </c>
      <c r="H36" s="71"/>
      <c r="I36" s="20">
        <f t="shared" si="14"/>
        <v>0</v>
      </c>
      <c r="J36" s="75">
        <v>0</v>
      </c>
      <c r="K36" s="74">
        <v>0</v>
      </c>
      <c r="L36" s="74">
        <v>0</v>
      </c>
      <c r="M36" s="71">
        <f t="shared" si="15"/>
        <v>0</v>
      </c>
      <c r="N36" s="71">
        <v>0</v>
      </c>
      <c r="O36" s="20">
        <f t="shared" si="16"/>
        <v>0</v>
      </c>
      <c r="P36" s="75">
        <v>0</v>
      </c>
      <c r="Q36" s="74">
        <v>0</v>
      </c>
      <c r="R36" s="74">
        <v>0</v>
      </c>
      <c r="S36" s="71">
        <f t="shared" si="17"/>
        <v>0</v>
      </c>
      <c r="T36" s="71">
        <v>0</v>
      </c>
      <c r="U36" s="20">
        <f t="shared" si="18"/>
        <v>0</v>
      </c>
      <c r="V36" s="75">
        <v>0</v>
      </c>
      <c r="W36" s="74">
        <v>0</v>
      </c>
      <c r="X36" s="74">
        <v>0</v>
      </c>
      <c r="Y36" s="71">
        <f t="shared" si="19"/>
        <v>0</v>
      </c>
      <c r="Z36" s="71">
        <v>0</v>
      </c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1144</v>
      </c>
      <c r="E37" s="74">
        <v>0</v>
      </c>
      <c r="F37" s="74">
        <v>0</v>
      </c>
      <c r="G37" s="71">
        <f t="shared" si="13"/>
        <v>1144</v>
      </c>
      <c r="H37" s="71"/>
      <c r="I37" s="20">
        <f t="shared" si="14"/>
        <v>1144</v>
      </c>
      <c r="J37" s="75">
        <v>1184</v>
      </c>
      <c r="K37" s="74">
        <v>0</v>
      </c>
      <c r="L37" s="74">
        <v>0</v>
      </c>
      <c r="M37" s="71">
        <f t="shared" si="15"/>
        <v>1184</v>
      </c>
      <c r="N37" s="71">
        <v>0</v>
      </c>
      <c r="O37" s="20">
        <f t="shared" si="16"/>
        <v>1184</v>
      </c>
      <c r="P37" s="75">
        <v>732</v>
      </c>
      <c r="Q37" s="74">
        <v>0</v>
      </c>
      <c r="R37" s="74">
        <v>0</v>
      </c>
      <c r="S37" s="71">
        <f t="shared" si="17"/>
        <v>732</v>
      </c>
      <c r="T37" s="71">
        <v>0</v>
      </c>
      <c r="U37" s="20">
        <f t="shared" si="18"/>
        <v>732</v>
      </c>
      <c r="V37" s="75">
        <v>1500</v>
      </c>
      <c r="W37" s="74">
        <v>0</v>
      </c>
      <c r="X37" s="74">
        <v>0</v>
      </c>
      <c r="Y37" s="71">
        <f t="shared" si="19"/>
        <v>1500</v>
      </c>
      <c r="Z37" s="71">
        <v>0</v>
      </c>
      <c r="AA37" s="20">
        <f t="shared" si="20"/>
        <v>1500</v>
      </c>
      <c r="AB37" s="21">
        <f t="shared" si="12"/>
        <v>1.2668918918918919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915</v>
      </c>
      <c r="E38" s="81">
        <v>1465</v>
      </c>
      <c r="F38" s="81">
        <v>378</v>
      </c>
      <c r="G38" s="71">
        <f t="shared" si="13"/>
        <v>2758</v>
      </c>
      <c r="H38" s="82"/>
      <c r="I38" s="50">
        <f t="shared" si="14"/>
        <v>2758</v>
      </c>
      <c r="J38" s="83">
        <v>518</v>
      </c>
      <c r="K38" s="81">
        <v>1682</v>
      </c>
      <c r="L38" s="81">
        <v>300</v>
      </c>
      <c r="M38" s="82">
        <f t="shared" si="15"/>
        <v>2500</v>
      </c>
      <c r="N38" s="82">
        <v>0</v>
      </c>
      <c r="O38" s="50">
        <f t="shared" si="16"/>
        <v>2500</v>
      </c>
      <c r="P38" s="83">
        <v>509</v>
      </c>
      <c r="Q38" s="81">
        <v>725</v>
      </c>
      <c r="R38" s="81">
        <v>205</v>
      </c>
      <c r="S38" s="82">
        <f t="shared" si="17"/>
        <v>1439</v>
      </c>
      <c r="T38" s="82">
        <v>0</v>
      </c>
      <c r="U38" s="50">
        <f t="shared" si="18"/>
        <v>1439</v>
      </c>
      <c r="V38" s="83">
        <v>653</v>
      </c>
      <c r="W38" s="81">
        <v>2700</v>
      </c>
      <c r="X38" s="81">
        <v>500</v>
      </c>
      <c r="Y38" s="82">
        <f t="shared" si="19"/>
        <v>3853</v>
      </c>
      <c r="Z38" s="82">
        <v>0</v>
      </c>
      <c r="AA38" s="50">
        <f t="shared" si="20"/>
        <v>3853</v>
      </c>
      <c r="AB38" s="51">
        <f t="shared" si="12"/>
        <v>1.5411999999999999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13734</v>
      </c>
      <c r="E39" s="85">
        <f>SUM(E35:E38)+SUM(E28:E32)</f>
        <v>80181</v>
      </c>
      <c r="F39" s="85">
        <f>SUM(F35:F38)+SUM(F28:F32)</f>
        <v>8046</v>
      </c>
      <c r="G39" s="86">
        <f>SUM(D39:F39)</f>
        <v>101961</v>
      </c>
      <c r="H39" s="87">
        <f>SUM(H28:H32)+SUM(H35:H38)</f>
        <v>31</v>
      </c>
      <c r="I39" s="88">
        <f>SUM(I35:I38)+SUM(I28:I32)</f>
        <v>101992</v>
      </c>
      <c r="J39" s="85">
        <f>SUM(J35:J38)+SUM(J28:J32)</f>
        <v>13288</v>
      </c>
      <c r="K39" s="85">
        <f>SUM(K35:K38)+SUM(K28:K32)</f>
        <v>86652</v>
      </c>
      <c r="L39" s="85">
        <f>SUM(L35:L38)+SUM(L28:L32)</f>
        <v>8341</v>
      </c>
      <c r="M39" s="86">
        <f>SUM(J39:L39)</f>
        <v>108281</v>
      </c>
      <c r="N39" s="87">
        <f>SUM(N28:N32)+SUM(N35:N38)</f>
        <v>17</v>
      </c>
      <c r="O39" s="88">
        <f>SUM(O35:O38)+SUM(O28:O32)</f>
        <v>108298</v>
      </c>
      <c r="P39" s="85">
        <f>SUM(P35:P38)+SUM(P28:P32)</f>
        <v>7291</v>
      </c>
      <c r="Q39" s="85">
        <f>SUM(Q35:Q38)+SUM(Q28:Q32)</f>
        <v>44890</v>
      </c>
      <c r="R39" s="85">
        <f>SUM(R35:R38)+SUM(R28:R32)</f>
        <v>4416</v>
      </c>
      <c r="S39" s="86">
        <f>SUM(P39:R39)</f>
        <v>56597</v>
      </c>
      <c r="T39" s="87">
        <f>SUM(T28:T32)+SUM(T35:T38)</f>
        <v>17</v>
      </c>
      <c r="U39" s="88">
        <f>SUM(U35:U38)+SUM(U28:U32)</f>
        <v>56614</v>
      </c>
      <c r="V39" s="85">
        <f>SUM(V35:V38)+SUM(V28:V32)</f>
        <v>13604</v>
      </c>
      <c r="W39" s="85">
        <f>SUM(W35:W38)+SUM(W28:W32)</f>
        <v>99542</v>
      </c>
      <c r="X39" s="85">
        <f>SUM(X35:X38)+SUM(X28:X32)</f>
        <v>8763</v>
      </c>
      <c r="Y39" s="86">
        <f>SUM(V39:X39)</f>
        <v>121909</v>
      </c>
      <c r="Z39" s="87">
        <f>SUM(Z28:Z32)+SUM(Z35:Z38)</f>
        <v>36</v>
      </c>
      <c r="AA39" s="88">
        <f>SUM(AA35:AA38)+SUM(AA28:AA32)</f>
        <v>121945</v>
      </c>
      <c r="AB39" s="89">
        <f t="shared" si="12"/>
        <v>1.1260134074498145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-37</v>
      </c>
      <c r="E40" s="92">
        <f t="shared" si="21"/>
        <v>0</v>
      </c>
      <c r="F40" s="92">
        <f t="shared" si="21"/>
        <v>102</v>
      </c>
      <c r="G40" s="93">
        <f t="shared" si="21"/>
        <v>65</v>
      </c>
      <c r="H40" s="93">
        <f t="shared" si="21"/>
        <v>129</v>
      </c>
      <c r="I40" s="94">
        <f t="shared" si="21"/>
        <v>194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113</v>
      </c>
      <c r="O40" s="94">
        <f t="shared" si="21"/>
        <v>113</v>
      </c>
      <c r="P40" s="92">
        <f t="shared" si="21"/>
        <v>724</v>
      </c>
      <c r="Q40" s="92">
        <f t="shared" si="21"/>
        <v>0</v>
      </c>
      <c r="R40" s="92">
        <f t="shared" si="21"/>
        <v>216</v>
      </c>
      <c r="S40" s="93">
        <f t="shared" si="21"/>
        <v>940</v>
      </c>
      <c r="T40" s="93">
        <f t="shared" si="21"/>
        <v>53</v>
      </c>
      <c r="U40" s="94">
        <f t="shared" si="21"/>
        <v>993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125</v>
      </c>
      <c r="AA40" s="94">
        <f t="shared" si="21"/>
        <v>125</v>
      </c>
      <c r="AB40" s="95">
        <f t="shared" si="12"/>
        <v>1.1061946902654867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-13453</v>
      </c>
      <c r="J41" s="98"/>
      <c r="K41" s="99"/>
      <c r="L41" s="99"/>
      <c r="M41" s="100"/>
      <c r="N41" s="103"/>
      <c r="O41" s="102">
        <f>O40-J16</f>
        <v>-13175</v>
      </c>
      <c r="P41" s="98"/>
      <c r="Q41" s="99"/>
      <c r="R41" s="99"/>
      <c r="S41" s="100"/>
      <c r="T41" s="103"/>
      <c r="U41" s="102">
        <f>U40-P16</f>
        <v>-6892</v>
      </c>
      <c r="V41" s="98"/>
      <c r="W41" s="99"/>
      <c r="X41" s="99"/>
      <c r="Y41" s="100"/>
      <c r="Z41" s="103"/>
      <c r="AA41" s="102">
        <f>AA40-V16</f>
        <v>-13479</v>
      </c>
      <c r="AB41" s="21">
        <f t="shared" si="12"/>
        <v>1.0230740037950665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f>SUM(E44:F44)</f>
        <v>874</v>
      </c>
      <c r="E44" s="117">
        <v>874</v>
      </c>
      <c r="F44" s="118">
        <v>0</v>
      </c>
      <c r="G44" s="108"/>
      <c r="H44" s="108"/>
      <c r="I44" s="115"/>
      <c r="J44" s="116">
        <f>SUM(K44:L44)</f>
        <v>874</v>
      </c>
      <c r="K44" s="117">
        <v>874</v>
      </c>
      <c r="L44" s="118">
        <v>0</v>
      </c>
      <c r="M44" s="119"/>
      <c r="N44" s="119"/>
      <c r="O44" s="119"/>
      <c r="P44" s="116">
        <f>SUM(Q44:R44)</f>
        <v>263</v>
      </c>
      <c r="Q44" s="117">
        <v>263</v>
      </c>
      <c r="R44" s="118">
        <v>0</v>
      </c>
      <c r="S44" s="3"/>
      <c r="T44" s="3"/>
      <c r="U44" s="3"/>
      <c r="V44" s="116">
        <f>SUM(W44:X44)</f>
        <v>1051</v>
      </c>
      <c r="W44" s="117">
        <v>1051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500</v>
      </c>
      <c r="E47" s="124">
        <v>0</v>
      </c>
      <c r="F47" s="108"/>
      <c r="G47" s="108"/>
      <c r="H47" s="108"/>
      <c r="I47" s="115"/>
      <c r="J47" s="116">
        <v>200</v>
      </c>
      <c r="K47" s="124">
        <v>0</v>
      </c>
      <c r="L47" s="125"/>
      <c r="M47" s="125"/>
      <c r="N47" s="3"/>
      <c r="O47" s="3"/>
      <c r="P47" s="116">
        <v>200</v>
      </c>
      <c r="Q47" s="124">
        <v>0</v>
      </c>
      <c r="R47" s="3"/>
      <c r="S47" s="3"/>
      <c r="T47" s="3"/>
      <c r="U47" s="3"/>
      <c r="V47" s="116">
        <v>300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>
        <f>SUM(D51:D54)</f>
        <v>2710</v>
      </c>
      <c r="E50" s="129">
        <f>SUM(E51:E54)</f>
        <v>3397</v>
      </c>
      <c r="F50" s="129">
        <f>SUM(F51:F54)</f>
        <v>5038</v>
      </c>
      <c r="G50" s="130">
        <f>SUM(G51:G54)</f>
        <v>1069</v>
      </c>
      <c r="H50" s="108"/>
      <c r="I50" s="3"/>
      <c r="J50" s="129">
        <v>1069</v>
      </c>
      <c r="K50" s="129">
        <v>3081</v>
      </c>
      <c r="L50" s="129">
        <v>3348</v>
      </c>
      <c r="M50" s="130">
        <f>J50+K50-L50</f>
        <v>802</v>
      </c>
      <c r="N50" s="3"/>
      <c r="O50" s="3"/>
      <c r="P50" s="129">
        <v>1069</v>
      </c>
      <c r="Q50" s="129">
        <v>1832</v>
      </c>
      <c r="R50" s="129">
        <v>1986</v>
      </c>
      <c r="S50" s="130">
        <f>SUM(S51:S54)</f>
        <v>997</v>
      </c>
      <c r="T50" s="3"/>
      <c r="U50" s="3"/>
      <c r="V50" s="129">
        <v>997</v>
      </c>
      <c r="W50" s="129">
        <f>SUM(W51:W54)</f>
        <v>3710</v>
      </c>
      <c r="X50" s="129">
        <f>SUM(X51:X54)</f>
        <v>3610</v>
      </c>
      <c r="Y50" s="130">
        <f>SUM(Y51:Y54)</f>
        <v>1097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1805</v>
      </c>
      <c r="E51" s="129">
        <v>448</v>
      </c>
      <c r="F51" s="129">
        <v>1779</v>
      </c>
      <c r="G51" s="130">
        <f t="shared" ref="G51:G54" si="22">D51+E51-F51</f>
        <v>474</v>
      </c>
      <c r="H51" s="108"/>
      <c r="I51" s="3"/>
      <c r="J51" s="129">
        <v>474</v>
      </c>
      <c r="K51" s="129">
        <v>100</v>
      </c>
      <c r="L51" s="129">
        <v>400</v>
      </c>
      <c r="M51" s="130">
        <f t="shared" ref="M51:M54" si="23">J51+K51-L51</f>
        <v>174</v>
      </c>
      <c r="N51" s="3"/>
      <c r="O51" s="3"/>
      <c r="P51" s="129">
        <v>474</v>
      </c>
      <c r="Q51" s="129">
        <v>200</v>
      </c>
      <c r="R51" s="129">
        <v>470</v>
      </c>
      <c r="S51" s="130">
        <f>SUM(P51+Q51-R51)</f>
        <v>204</v>
      </c>
      <c r="T51" s="3"/>
      <c r="U51" s="3"/>
      <c r="V51" s="129">
        <v>204</v>
      </c>
      <c r="W51" s="129">
        <v>300</v>
      </c>
      <c r="X51" s="129">
        <v>250</v>
      </c>
      <c r="Y51" s="130">
        <f t="shared" ref="Y51:Y54" si="24">V51+W51-X51</f>
        <v>254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429</v>
      </c>
      <c r="E52" s="129">
        <v>1768</v>
      </c>
      <c r="F52" s="129">
        <v>1994</v>
      </c>
      <c r="G52" s="130">
        <f t="shared" si="22"/>
        <v>203</v>
      </c>
      <c r="H52" s="108"/>
      <c r="I52" s="3"/>
      <c r="J52" s="129">
        <v>203</v>
      </c>
      <c r="K52" s="129">
        <v>1551</v>
      </c>
      <c r="L52" s="129">
        <v>1541</v>
      </c>
      <c r="M52" s="130">
        <f t="shared" si="23"/>
        <v>213</v>
      </c>
      <c r="N52" s="3"/>
      <c r="O52" s="3"/>
      <c r="P52" s="129">
        <v>203</v>
      </c>
      <c r="Q52" s="129">
        <v>1830</v>
      </c>
      <c r="R52" s="129">
        <v>1641</v>
      </c>
      <c r="S52" s="130">
        <f>SUM(P52+Q52-R52)</f>
        <v>392</v>
      </c>
      <c r="T52" s="3"/>
      <c r="U52" s="3"/>
      <c r="V52" s="129">
        <v>392</v>
      </c>
      <c r="W52" s="129">
        <v>1900</v>
      </c>
      <c r="X52" s="129">
        <v>1860</v>
      </c>
      <c r="Y52" s="130">
        <f t="shared" si="24"/>
        <v>432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100</v>
      </c>
      <c r="E53" s="129">
        <v>0</v>
      </c>
      <c r="F53" s="129">
        <v>38</v>
      </c>
      <c r="G53" s="130">
        <f t="shared" si="22"/>
        <v>62</v>
      </c>
      <c r="H53" s="108"/>
      <c r="I53" s="3"/>
      <c r="J53" s="129">
        <v>62</v>
      </c>
      <c r="K53" s="129">
        <v>150</v>
      </c>
      <c r="L53" s="129">
        <v>0</v>
      </c>
      <c r="M53" s="130">
        <f t="shared" si="23"/>
        <v>212</v>
      </c>
      <c r="N53" s="3"/>
      <c r="O53" s="3"/>
      <c r="P53" s="129">
        <v>62</v>
      </c>
      <c r="Q53" s="129">
        <v>150</v>
      </c>
      <c r="R53" s="129">
        <v>0</v>
      </c>
      <c r="S53" s="130">
        <v>212</v>
      </c>
      <c r="T53" s="3"/>
      <c r="U53" s="3"/>
      <c r="V53" s="129">
        <v>212</v>
      </c>
      <c r="W53" s="129">
        <v>0</v>
      </c>
      <c r="X53" s="129">
        <v>0</v>
      </c>
      <c r="Y53" s="130">
        <f t="shared" si="24"/>
        <v>212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376</v>
      </c>
      <c r="E54" s="129">
        <v>1181</v>
      </c>
      <c r="F54" s="129">
        <v>1227</v>
      </c>
      <c r="G54" s="130">
        <f t="shared" si="22"/>
        <v>330</v>
      </c>
      <c r="H54" s="108"/>
      <c r="I54" s="3"/>
      <c r="J54" s="129">
        <v>330</v>
      </c>
      <c r="K54" s="129">
        <v>1281</v>
      </c>
      <c r="L54" s="129">
        <v>1407</v>
      </c>
      <c r="M54" s="130">
        <f t="shared" si="23"/>
        <v>204</v>
      </c>
      <c r="N54" s="3"/>
      <c r="O54" s="3"/>
      <c r="P54" s="129">
        <v>330</v>
      </c>
      <c r="Q54" s="129">
        <v>1350</v>
      </c>
      <c r="R54" s="129">
        <v>1491</v>
      </c>
      <c r="S54" s="130">
        <f>SUM(P54+Q54-R54)</f>
        <v>189</v>
      </c>
      <c r="T54" s="3"/>
      <c r="U54" s="3"/>
      <c r="V54" s="129">
        <v>189</v>
      </c>
      <c r="W54" s="129">
        <v>1510</v>
      </c>
      <c r="X54" s="129">
        <v>1500</v>
      </c>
      <c r="Y54" s="130">
        <f t="shared" si="24"/>
        <v>199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179</v>
      </c>
      <c r="E57" s="132">
        <v>185</v>
      </c>
      <c r="F57" s="108"/>
      <c r="G57" s="108"/>
      <c r="H57" s="108"/>
      <c r="I57" s="115"/>
      <c r="J57" s="132">
        <v>190</v>
      </c>
      <c r="K57" s="108"/>
      <c r="L57" s="108"/>
      <c r="M57" s="108"/>
      <c r="N57" s="108"/>
      <c r="O57" s="115"/>
      <c r="P57" s="132">
        <v>187</v>
      </c>
      <c r="Q57" s="115"/>
      <c r="R57" s="115"/>
      <c r="S57" s="115"/>
      <c r="T57" s="115"/>
      <c r="U57" s="115"/>
      <c r="V57" s="132">
        <v>195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 t="s">
        <v>196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 t="s">
        <v>197</v>
      </c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65" t="s">
        <v>198</v>
      </c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 t="s">
        <v>199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43703</v>
      </c>
      <c r="D91" s="156" t="s">
        <v>105</v>
      </c>
      <c r="E91" s="313" t="s">
        <v>200</v>
      </c>
      <c r="F91" s="313"/>
      <c r="G91" s="313"/>
      <c r="H91" s="156"/>
      <c r="I91" s="156" t="s">
        <v>107</v>
      </c>
      <c r="J91" s="314" t="s">
        <v>201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11" priority="3" operator="equal">
      <formula>0</formula>
    </cfRule>
    <cfRule type="containsErrors" dxfId="10" priority="4">
      <formula>ISERROR(AB15)</formula>
    </cfRule>
  </conditionalFormatting>
  <conditionalFormatting sqref="AB28:AB41">
    <cfRule type="cellIs" dxfId="9" priority="1" operator="equal">
      <formula>0</formula>
    </cfRule>
    <cfRule type="containsErrors" dxfId="8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topLeftCell="A46" zoomScale="80" zoomScaleNormal="80" zoomScaleSheetLayoutView="80" workbookViewId="0">
      <selection activeCell="J91" sqref="J91:M9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  <c r="N1" s="199"/>
      <c r="O1" s="199"/>
      <c r="P1" s="199"/>
      <c r="Q1" s="199"/>
      <c r="R1" s="199"/>
      <c r="S1" s="199"/>
      <c r="T1" s="199"/>
      <c r="U1" s="199"/>
      <c r="V1" s="201"/>
      <c r="W1" s="201"/>
      <c r="X1" s="201"/>
      <c r="Y1" s="201"/>
      <c r="Z1" s="201"/>
      <c r="AA1" s="201"/>
      <c r="AB1" s="201"/>
      <c r="AC1" s="201"/>
    </row>
    <row r="2" spans="1:30" ht="21" x14ac:dyDescent="0.35">
      <c r="A2" s="199"/>
      <c r="B2" s="202" t="s">
        <v>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0"/>
      <c r="N2" s="199"/>
      <c r="O2" s="199"/>
      <c r="P2" s="199"/>
      <c r="Q2" s="199"/>
      <c r="R2" s="199"/>
      <c r="S2" s="199"/>
      <c r="T2" s="199"/>
      <c r="U2" s="199"/>
      <c r="V2" s="201"/>
      <c r="W2" s="201"/>
      <c r="X2" s="201"/>
      <c r="Y2" s="201"/>
      <c r="Z2" s="201"/>
      <c r="AA2" s="201"/>
      <c r="AB2" s="201"/>
      <c r="AC2" s="201"/>
    </row>
    <row r="3" spans="1:30" ht="7.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0"/>
      <c r="N3" s="199"/>
      <c r="O3" s="199"/>
      <c r="P3" s="199"/>
      <c r="Q3" s="199"/>
      <c r="R3" s="199"/>
      <c r="S3" s="199"/>
      <c r="T3" s="199"/>
      <c r="U3" s="199"/>
      <c r="V3" s="201"/>
      <c r="W3" s="201"/>
      <c r="X3" s="201"/>
      <c r="Y3" s="201"/>
      <c r="Z3" s="201"/>
      <c r="AA3" s="201"/>
      <c r="AB3" s="201"/>
      <c r="AC3" s="201"/>
    </row>
    <row r="4" spans="1:30" ht="21" x14ac:dyDescent="0.35">
      <c r="A4" s="199"/>
      <c r="B4" s="199" t="s">
        <v>1</v>
      </c>
      <c r="C4" s="199"/>
      <c r="D4" s="404" t="s">
        <v>202</v>
      </c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201"/>
      <c r="W4" s="201"/>
      <c r="X4" s="201"/>
      <c r="Y4" s="201"/>
      <c r="Z4" s="201"/>
      <c r="AA4" s="201"/>
      <c r="AB4" s="201"/>
      <c r="AC4" s="201"/>
    </row>
    <row r="5" spans="1:30" ht="3.75" customHeight="1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200"/>
      <c r="N5" s="199"/>
      <c r="O5" s="199"/>
      <c r="P5" s="199"/>
      <c r="Q5" s="199"/>
      <c r="R5" s="199"/>
      <c r="S5" s="199"/>
      <c r="T5" s="199"/>
      <c r="U5" s="199"/>
      <c r="V5" s="201"/>
      <c r="W5" s="201"/>
      <c r="X5" s="201"/>
      <c r="Y5" s="201"/>
      <c r="Z5" s="201"/>
      <c r="AA5" s="201"/>
      <c r="AB5" s="201"/>
      <c r="AC5" s="201"/>
    </row>
    <row r="6" spans="1:30" x14ac:dyDescent="0.25">
      <c r="A6" s="199"/>
      <c r="B6" s="199" t="s">
        <v>3</v>
      </c>
      <c r="C6" s="199"/>
      <c r="D6" s="203" t="s">
        <v>203</v>
      </c>
      <c r="E6" s="199"/>
      <c r="F6" s="199"/>
      <c r="G6" s="199"/>
      <c r="H6" s="199"/>
      <c r="I6" s="199"/>
      <c r="J6" s="199"/>
      <c r="K6" s="199"/>
      <c r="L6" s="199"/>
      <c r="M6" s="200"/>
      <c r="N6" s="199"/>
      <c r="O6" s="199"/>
      <c r="P6" s="199"/>
      <c r="Q6" s="199"/>
      <c r="R6" s="199"/>
      <c r="S6" s="199"/>
      <c r="T6" s="199"/>
      <c r="U6" s="199"/>
      <c r="V6" s="201"/>
      <c r="W6" s="201"/>
      <c r="X6" s="201"/>
      <c r="Y6" s="201"/>
      <c r="Z6" s="201"/>
      <c r="AA6" s="201"/>
      <c r="AB6" s="201"/>
      <c r="AC6" s="201"/>
    </row>
    <row r="7" spans="1:30" ht="3.75" customHeight="1" x14ac:dyDescent="0.25">
      <c r="A7" s="199"/>
      <c r="B7" s="199"/>
      <c r="C7" s="199"/>
      <c r="D7" s="204"/>
      <c r="E7" s="199"/>
      <c r="F7" s="199"/>
      <c r="G7" s="199"/>
      <c r="H7" s="199"/>
      <c r="I7" s="199"/>
      <c r="J7" s="199"/>
      <c r="K7" s="199"/>
      <c r="L7" s="199"/>
      <c r="M7" s="200"/>
      <c r="N7" s="199"/>
      <c r="O7" s="199"/>
      <c r="P7" s="199"/>
      <c r="Q7" s="199"/>
      <c r="R7" s="199"/>
      <c r="S7" s="199"/>
      <c r="T7" s="199"/>
      <c r="U7" s="199"/>
      <c r="V7" s="201"/>
      <c r="W7" s="201"/>
      <c r="X7" s="201"/>
      <c r="Y7" s="201"/>
      <c r="Z7" s="201"/>
      <c r="AA7" s="201"/>
      <c r="AB7" s="201"/>
      <c r="AC7" s="201"/>
    </row>
    <row r="8" spans="1:30" x14ac:dyDescent="0.25">
      <c r="A8" s="199"/>
      <c r="B8" s="199" t="s">
        <v>4</v>
      </c>
      <c r="C8" s="199"/>
      <c r="D8" s="359" t="s">
        <v>204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201"/>
      <c r="W8" s="201"/>
      <c r="X8" s="201"/>
      <c r="Y8" s="201"/>
      <c r="Z8" s="201"/>
      <c r="AA8" s="201"/>
      <c r="AB8" s="201"/>
      <c r="AC8" s="201"/>
    </row>
    <row r="9" spans="1:30" ht="15.75" thickBot="1" x14ac:dyDescent="0.3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 t="s">
        <v>205</v>
      </c>
      <c r="M9" s="200"/>
      <c r="N9" s="199"/>
      <c r="O9" s="199"/>
      <c r="P9" s="199"/>
      <c r="Q9" s="199"/>
      <c r="R9" s="199"/>
      <c r="S9" s="199"/>
      <c r="T9" s="199"/>
      <c r="U9" s="199"/>
      <c r="V9" s="201"/>
      <c r="W9" s="201"/>
      <c r="X9" s="201"/>
      <c r="Y9" s="201"/>
      <c r="Z9" s="201"/>
      <c r="AA9" s="201"/>
      <c r="AB9" s="201"/>
      <c r="AC9" s="201"/>
    </row>
    <row r="10" spans="1:30" ht="29.25" customHeight="1" thickBot="1" x14ac:dyDescent="0.3">
      <c r="A10" s="199"/>
      <c r="B10" s="405" t="s">
        <v>6</v>
      </c>
      <c r="C10" s="381" t="s">
        <v>7</v>
      </c>
      <c r="D10" s="392" t="s">
        <v>8</v>
      </c>
      <c r="E10" s="393"/>
      <c r="F10" s="393"/>
      <c r="G10" s="393"/>
      <c r="H10" s="393"/>
      <c r="I10" s="394"/>
      <c r="J10" s="392" t="s">
        <v>9</v>
      </c>
      <c r="K10" s="393"/>
      <c r="L10" s="393"/>
      <c r="M10" s="393"/>
      <c r="N10" s="393"/>
      <c r="O10" s="394"/>
      <c r="P10" s="392" t="s">
        <v>10</v>
      </c>
      <c r="Q10" s="393"/>
      <c r="R10" s="393"/>
      <c r="S10" s="393"/>
      <c r="T10" s="393"/>
      <c r="U10" s="394"/>
      <c r="V10" s="392" t="s">
        <v>11</v>
      </c>
      <c r="W10" s="393"/>
      <c r="X10" s="393"/>
      <c r="Y10" s="393"/>
      <c r="Z10" s="393"/>
      <c r="AA10" s="394"/>
      <c r="AB10" s="395" t="s">
        <v>12</v>
      </c>
      <c r="AC10" s="201"/>
      <c r="AD10" s="201"/>
    </row>
    <row r="11" spans="1:30" ht="30.75" customHeight="1" thickBot="1" x14ac:dyDescent="0.3">
      <c r="A11" s="199"/>
      <c r="B11" s="406"/>
      <c r="C11" s="382"/>
      <c r="D11" s="398" t="s">
        <v>13</v>
      </c>
      <c r="E11" s="399"/>
      <c r="F11" s="399"/>
      <c r="G11" s="400"/>
      <c r="H11" s="205" t="s">
        <v>14</v>
      </c>
      <c r="I11" s="205" t="s">
        <v>15</v>
      </c>
      <c r="J11" s="398" t="s">
        <v>13</v>
      </c>
      <c r="K11" s="399"/>
      <c r="L11" s="399"/>
      <c r="M11" s="400"/>
      <c r="N11" s="205" t="s">
        <v>14</v>
      </c>
      <c r="O11" s="205" t="s">
        <v>15</v>
      </c>
      <c r="P11" s="398" t="s">
        <v>13</v>
      </c>
      <c r="Q11" s="399"/>
      <c r="R11" s="399"/>
      <c r="S11" s="400"/>
      <c r="T11" s="205" t="s">
        <v>14</v>
      </c>
      <c r="U11" s="205" t="s">
        <v>15</v>
      </c>
      <c r="V11" s="398" t="s">
        <v>13</v>
      </c>
      <c r="W11" s="399"/>
      <c r="X11" s="399"/>
      <c r="Y11" s="400"/>
      <c r="Z11" s="205" t="s">
        <v>14</v>
      </c>
      <c r="AA11" s="205" t="s">
        <v>15</v>
      </c>
      <c r="AB11" s="396"/>
      <c r="AC11" s="201"/>
      <c r="AD11" s="201"/>
    </row>
    <row r="12" spans="1:30" ht="15.75" customHeight="1" thickBot="1" x14ac:dyDescent="0.3">
      <c r="A12" s="199"/>
      <c r="B12" s="406"/>
      <c r="C12" s="408"/>
      <c r="D12" s="401" t="s">
        <v>16</v>
      </c>
      <c r="E12" s="402"/>
      <c r="F12" s="402"/>
      <c r="G12" s="402"/>
      <c r="H12" s="402"/>
      <c r="I12" s="403"/>
      <c r="J12" s="401" t="s">
        <v>16</v>
      </c>
      <c r="K12" s="402"/>
      <c r="L12" s="402"/>
      <c r="M12" s="402"/>
      <c r="N12" s="402"/>
      <c r="O12" s="403"/>
      <c r="P12" s="401" t="s">
        <v>16</v>
      </c>
      <c r="Q12" s="402"/>
      <c r="R12" s="402"/>
      <c r="S12" s="402"/>
      <c r="T12" s="402"/>
      <c r="U12" s="403"/>
      <c r="V12" s="401" t="s">
        <v>16</v>
      </c>
      <c r="W12" s="402"/>
      <c r="X12" s="402"/>
      <c r="Y12" s="402"/>
      <c r="Z12" s="402"/>
      <c r="AA12" s="403"/>
      <c r="AB12" s="396"/>
      <c r="AC12" s="201"/>
      <c r="AD12" s="201"/>
    </row>
    <row r="13" spans="1:30" ht="15.75" customHeight="1" thickBot="1" x14ac:dyDescent="0.3">
      <c r="A13" s="199"/>
      <c r="B13" s="407"/>
      <c r="C13" s="409"/>
      <c r="D13" s="344" t="s">
        <v>17</v>
      </c>
      <c r="E13" s="345"/>
      <c r="F13" s="345"/>
      <c r="G13" s="340" t="s">
        <v>18</v>
      </c>
      <c r="H13" s="342" t="s">
        <v>19</v>
      </c>
      <c r="I13" s="383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83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83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83" t="s">
        <v>16</v>
      </c>
      <c r="AB13" s="396"/>
      <c r="AC13" s="201"/>
      <c r="AD13" s="201"/>
    </row>
    <row r="14" spans="1:30" ht="15.75" thickBot="1" x14ac:dyDescent="0.3">
      <c r="A14" s="199"/>
      <c r="B14" s="206"/>
      <c r="C14" s="207"/>
      <c r="D14" s="208" t="s">
        <v>20</v>
      </c>
      <c r="E14" s="209" t="s">
        <v>21</v>
      </c>
      <c r="F14" s="209" t="s">
        <v>22</v>
      </c>
      <c r="G14" s="341"/>
      <c r="H14" s="343"/>
      <c r="I14" s="384"/>
      <c r="J14" s="208" t="s">
        <v>20</v>
      </c>
      <c r="K14" s="209" t="s">
        <v>21</v>
      </c>
      <c r="L14" s="209" t="s">
        <v>22</v>
      </c>
      <c r="M14" s="341"/>
      <c r="N14" s="343"/>
      <c r="O14" s="384"/>
      <c r="P14" s="208" t="s">
        <v>20</v>
      </c>
      <c r="Q14" s="209" t="s">
        <v>21</v>
      </c>
      <c r="R14" s="209" t="s">
        <v>22</v>
      </c>
      <c r="S14" s="341"/>
      <c r="T14" s="343"/>
      <c r="U14" s="384"/>
      <c r="V14" s="208" t="s">
        <v>20</v>
      </c>
      <c r="W14" s="209" t="s">
        <v>21</v>
      </c>
      <c r="X14" s="209" t="s">
        <v>22</v>
      </c>
      <c r="Y14" s="341"/>
      <c r="Z14" s="343"/>
      <c r="AA14" s="384"/>
      <c r="AB14" s="397"/>
      <c r="AC14" s="201"/>
      <c r="AD14" s="201"/>
    </row>
    <row r="15" spans="1:30" x14ac:dyDescent="0.25">
      <c r="A15" s="199"/>
      <c r="B15" s="13" t="s">
        <v>23</v>
      </c>
      <c r="C15" s="14" t="s">
        <v>24</v>
      </c>
      <c r="D15" s="210"/>
      <c r="E15" s="211"/>
      <c r="F15" s="17">
        <v>2303.5770000000002</v>
      </c>
      <c r="G15" s="18">
        <f>SUM(D15:F15)</f>
        <v>2303.5770000000002</v>
      </c>
      <c r="H15" s="19">
        <v>288.12400000000002</v>
      </c>
      <c r="I15" s="20">
        <f>G15+H15</f>
        <v>2591.701</v>
      </c>
      <c r="J15" s="210"/>
      <c r="K15" s="211"/>
      <c r="L15" s="17">
        <v>2400</v>
      </c>
      <c r="M15" s="18">
        <f t="shared" ref="M15:M23" si="0">SUM(J15:L15)</f>
        <v>2400</v>
      </c>
      <c r="N15" s="19">
        <v>350</v>
      </c>
      <c r="O15" s="20">
        <f t="shared" ref="O15:O23" si="1">M15+N15</f>
        <v>2750</v>
      </c>
      <c r="P15" s="210"/>
      <c r="Q15" s="211"/>
      <c r="R15" s="17">
        <v>1698.5</v>
      </c>
      <c r="S15" s="18">
        <f>SUM(P15:R15)</f>
        <v>1698.5</v>
      </c>
      <c r="T15" s="19">
        <v>119.8</v>
      </c>
      <c r="U15" s="20">
        <f t="shared" ref="U15:U23" si="2">S15+T15</f>
        <v>1818.3</v>
      </c>
      <c r="V15" s="210"/>
      <c r="W15" s="211"/>
      <c r="X15" s="17">
        <v>2400</v>
      </c>
      <c r="Y15" s="18">
        <f>SUM(V15:X15)</f>
        <v>2400</v>
      </c>
      <c r="Z15" s="19">
        <v>350</v>
      </c>
      <c r="AA15" s="20">
        <f t="shared" ref="AA15:AA23" si="3">Y15+Z15</f>
        <v>2750</v>
      </c>
      <c r="AB15" s="212">
        <f>(AA15/O15)</f>
        <v>1</v>
      </c>
      <c r="AC15" s="201"/>
      <c r="AD15" s="201"/>
    </row>
    <row r="16" spans="1:30" x14ac:dyDescent="0.25">
      <c r="A16" s="199"/>
      <c r="B16" s="22" t="s">
        <v>25</v>
      </c>
      <c r="C16" s="213" t="s">
        <v>26</v>
      </c>
      <c r="D16" s="214">
        <v>1122</v>
      </c>
      <c r="E16" s="215"/>
      <c r="F16" s="215"/>
      <c r="G16" s="26">
        <f t="shared" ref="G16:G23" si="4">SUM(D16:F16)</f>
        <v>1122</v>
      </c>
      <c r="H16" s="216"/>
      <c r="I16" s="20">
        <f t="shared" ref="I16:I23" si="5">G16+H16</f>
        <v>1122</v>
      </c>
      <c r="J16" s="214">
        <v>1144</v>
      </c>
      <c r="K16" s="215"/>
      <c r="L16" s="215"/>
      <c r="M16" s="26">
        <f t="shared" si="0"/>
        <v>1144</v>
      </c>
      <c r="N16" s="216"/>
      <c r="O16" s="20">
        <f t="shared" si="1"/>
        <v>1144</v>
      </c>
      <c r="P16" s="214">
        <v>550</v>
      </c>
      <c r="Q16" s="215"/>
      <c r="R16" s="215"/>
      <c r="S16" s="26">
        <f t="shared" ref="S16:S23" si="6">SUM(P16:R16)</f>
        <v>550</v>
      </c>
      <c r="T16" s="216"/>
      <c r="U16" s="20">
        <f t="shared" si="2"/>
        <v>550</v>
      </c>
      <c r="V16" s="214">
        <v>1170.5</v>
      </c>
      <c r="W16" s="215"/>
      <c r="X16" s="215"/>
      <c r="Y16" s="26">
        <f t="shared" ref="Y16:Y23" si="7">SUM(V16:X16)</f>
        <v>1170.5</v>
      </c>
      <c r="Z16" s="216"/>
      <c r="AA16" s="20">
        <f t="shared" si="3"/>
        <v>1170.5</v>
      </c>
      <c r="AB16" s="212">
        <f t="shared" ref="AB16:AB24" si="8">(AA16/O16)</f>
        <v>1.0231643356643356</v>
      </c>
      <c r="AC16" s="201"/>
      <c r="AD16" s="201"/>
    </row>
    <row r="17" spans="1:30" x14ac:dyDescent="0.25">
      <c r="A17" s="199"/>
      <c r="B17" s="22" t="s">
        <v>27</v>
      </c>
      <c r="C17" s="217" t="s">
        <v>28</v>
      </c>
      <c r="D17" s="218">
        <v>102</v>
      </c>
      <c r="E17" s="219"/>
      <c r="F17" s="219"/>
      <c r="G17" s="26">
        <f t="shared" si="4"/>
        <v>102</v>
      </c>
      <c r="H17" s="220"/>
      <c r="I17" s="20">
        <f t="shared" si="5"/>
        <v>102</v>
      </c>
      <c r="J17" s="218"/>
      <c r="K17" s="219"/>
      <c r="L17" s="219"/>
      <c r="M17" s="26">
        <f t="shared" si="0"/>
        <v>0</v>
      </c>
      <c r="N17" s="220"/>
      <c r="O17" s="20">
        <f t="shared" si="1"/>
        <v>0</v>
      </c>
      <c r="P17" s="218">
        <v>75</v>
      </c>
      <c r="Q17" s="219"/>
      <c r="R17" s="219"/>
      <c r="S17" s="26">
        <f t="shared" si="6"/>
        <v>75</v>
      </c>
      <c r="T17" s="220"/>
      <c r="U17" s="20">
        <f t="shared" si="2"/>
        <v>75</v>
      </c>
      <c r="V17" s="218"/>
      <c r="W17" s="219"/>
      <c r="X17" s="219"/>
      <c r="Y17" s="26">
        <f t="shared" si="7"/>
        <v>0</v>
      </c>
      <c r="Z17" s="220"/>
      <c r="AA17" s="20">
        <f t="shared" si="3"/>
        <v>0</v>
      </c>
      <c r="AB17" s="212" t="e">
        <f t="shared" si="8"/>
        <v>#DIV/0!</v>
      </c>
      <c r="AC17" s="201"/>
      <c r="AD17" s="201"/>
    </row>
    <row r="18" spans="1:30" x14ac:dyDescent="0.25">
      <c r="A18" s="199"/>
      <c r="B18" s="22" t="s">
        <v>29</v>
      </c>
      <c r="C18" s="221" t="s">
        <v>30</v>
      </c>
      <c r="D18" s="222"/>
      <c r="E18" s="223">
        <f>8436.72+370.56</f>
        <v>8807.2799999999988</v>
      </c>
      <c r="F18" s="219"/>
      <c r="G18" s="26">
        <f t="shared" si="4"/>
        <v>8807.2799999999988</v>
      </c>
      <c r="H18" s="19"/>
      <c r="I18" s="20">
        <f t="shared" si="5"/>
        <v>8807.2799999999988</v>
      </c>
      <c r="J18" s="222"/>
      <c r="K18" s="223">
        <v>8082.1</v>
      </c>
      <c r="L18" s="219"/>
      <c r="M18" s="26">
        <f t="shared" si="0"/>
        <v>8082.1</v>
      </c>
      <c r="N18" s="19"/>
      <c r="O18" s="20">
        <f t="shared" si="1"/>
        <v>8082.1</v>
      </c>
      <c r="P18" s="222"/>
      <c r="Q18" s="223">
        <v>4867.5</v>
      </c>
      <c r="R18" s="219"/>
      <c r="S18" s="26">
        <f t="shared" si="6"/>
        <v>4867.5</v>
      </c>
      <c r="T18" s="19"/>
      <c r="U18" s="20">
        <f t="shared" si="2"/>
        <v>4867.5</v>
      </c>
      <c r="V18" s="222"/>
      <c r="W18" s="223">
        <v>9399.7999999999993</v>
      </c>
      <c r="X18" s="219"/>
      <c r="Y18" s="26">
        <f t="shared" si="7"/>
        <v>9399.7999999999993</v>
      </c>
      <c r="Z18" s="19"/>
      <c r="AA18" s="20">
        <f t="shared" si="3"/>
        <v>9399.7999999999993</v>
      </c>
      <c r="AB18" s="212">
        <f t="shared" si="8"/>
        <v>1.1630393090904589</v>
      </c>
      <c r="AC18" s="201"/>
      <c r="AD18" s="201"/>
    </row>
    <row r="19" spans="1:30" x14ac:dyDescent="0.25">
      <c r="A19" s="199"/>
      <c r="B19" s="22" t="s">
        <v>31</v>
      </c>
      <c r="C19" s="224" t="s">
        <v>32</v>
      </c>
      <c r="D19" s="225"/>
      <c r="E19" s="219"/>
      <c r="F19" s="226"/>
      <c r="G19" s="26">
        <f t="shared" si="4"/>
        <v>0</v>
      </c>
      <c r="H19" s="38"/>
      <c r="I19" s="20">
        <f t="shared" si="5"/>
        <v>0</v>
      </c>
      <c r="J19" s="225"/>
      <c r="K19" s="219"/>
      <c r="L19" s="226"/>
      <c r="M19" s="26">
        <f t="shared" si="0"/>
        <v>0</v>
      </c>
      <c r="N19" s="38"/>
      <c r="O19" s="20">
        <f t="shared" si="1"/>
        <v>0</v>
      </c>
      <c r="P19" s="225"/>
      <c r="Q19" s="219"/>
      <c r="R19" s="226"/>
      <c r="S19" s="26">
        <f t="shared" si="6"/>
        <v>0</v>
      </c>
      <c r="T19" s="38"/>
      <c r="U19" s="20">
        <f t="shared" si="2"/>
        <v>0</v>
      </c>
      <c r="V19" s="225"/>
      <c r="W19" s="219"/>
      <c r="X19" s="226"/>
      <c r="Y19" s="26">
        <f t="shared" si="7"/>
        <v>0</v>
      </c>
      <c r="Z19" s="38"/>
      <c r="AA19" s="20">
        <f t="shared" si="3"/>
        <v>0</v>
      </c>
      <c r="AB19" s="212" t="e">
        <f t="shared" si="8"/>
        <v>#DIV/0!</v>
      </c>
      <c r="AC19" s="201"/>
      <c r="AD19" s="201"/>
    </row>
    <row r="20" spans="1:30" x14ac:dyDescent="0.25">
      <c r="A20" s="199"/>
      <c r="B20" s="22" t="s">
        <v>33</v>
      </c>
      <c r="C20" s="227" t="s">
        <v>34</v>
      </c>
      <c r="D20" s="222"/>
      <c r="E20" s="215"/>
      <c r="F20" s="40">
        <v>55</v>
      </c>
      <c r="G20" s="26">
        <f t="shared" si="4"/>
        <v>55</v>
      </c>
      <c r="H20" s="38"/>
      <c r="I20" s="20">
        <f t="shared" si="5"/>
        <v>55</v>
      </c>
      <c r="J20" s="222"/>
      <c r="K20" s="215"/>
      <c r="L20" s="40">
        <v>20</v>
      </c>
      <c r="M20" s="26">
        <f t="shared" si="0"/>
        <v>20</v>
      </c>
      <c r="N20" s="38"/>
      <c r="O20" s="20">
        <f t="shared" si="1"/>
        <v>20</v>
      </c>
      <c r="P20" s="222"/>
      <c r="Q20" s="215"/>
      <c r="R20" s="40">
        <v>440</v>
      </c>
      <c r="S20" s="26">
        <f t="shared" si="6"/>
        <v>440</v>
      </c>
      <c r="T20" s="38"/>
      <c r="U20" s="20">
        <f t="shared" si="2"/>
        <v>440</v>
      </c>
      <c r="V20" s="222"/>
      <c r="W20" s="215"/>
      <c r="X20" s="40">
        <v>920</v>
      </c>
      <c r="Y20" s="26">
        <f t="shared" si="7"/>
        <v>920</v>
      </c>
      <c r="Z20" s="38"/>
      <c r="AA20" s="20">
        <f t="shared" si="3"/>
        <v>920</v>
      </c>
      <c r="AB20" s="212">
        <f t="shared" si="8"/>
        <v>46</v>
      </c>
      <c r="AC20" s="201"/>
      <c r="AD20" s="201"/>
    </row>
    <row r="21" spans="1:30" x14ac:dyDescent="0.25">
      <c r="A21" s="199"/>
      <c r="B21" s="22" t="s">
        <v>35</v>
      </c>
      <c r="C21" s="41" t="s">
        <v>36</v>
      </c>
      <c r="D21" s="222"/>
      <c r="E21" s="215"/>
      <c r="F21" s="40">
        <f>49.553+2.028</f>
        <v>51.580999999999996</v>
      </c>
      <c r="G21" s="26">
        <f t="shared" si="4"/>
        <v>51.580999999999996</v>
      </c>
      <c r="H21" s="42">
        <v>6.5250000000000004</v>
      </c>
      <c r="I21" s="20">
        <f>G21+H21</f>
        <v>58.105999999999995</v>
      </c>
      <c r="J21" s="222"/>
      <c r="K21" s="215"/>
      <c r="L21" s="40">
        <v>82</v>
      </c>
      <c r="M21" s="26">
        <f t="shared" si="0"/>
        <v>82</v>
      </c>
      <c r="N21" s="42">
        <v>6</v>
      </c>
      <c r="O21" s="20">
        <v>82</v>
      </c>
      <c r="P21" s="222"/>
      <c r="Q21" s="215"/>
      <c r="R21" s="40">
        <v>48.2</v>
      </c>
      <c r="S21" s="26">
        <f t="shared" si="6"/>
        <v>48.2</v>
      </c>
      <c r="T21" s="42">
        <v>5.8</v>
      </c>
      <c r="U21" s="20">
        <f t="shared" si="2"/>
        <v>54</v>
      </c>
      <c r="V21" s="222"/>
      <c r="W21" s="215"/>
      <c r="X21" s="40">
        <v>82</v>
      </c>
      <c r="Y21" s="26">
        <f t="shared" si="7"/>
        <v>82</v>
      </c>
      <c r="Z21" s="42">
        <v>6</v>
      </c>
      <c r="AA21" s="20">
        <f t="shared" si="3"/>
        <v>88</v>
      </c>
      <c r="AB21" s="212">
        <f t="shared" si="8"/>
        <v>1.0731707317073171</v>
      </c>
      <c r="AC21" s="201"/>
      <c r="AD21" s="201"/>
    </row>
    <row r="22" spans="1:30" x14ac:dyDescent="0.25">
      <c r="A22" s="199"/>
      <c r="B22" s="22" t="s">
        <v>37</v>
      </c>
      <c r="C22" s="41" t="s">
        <v>38</v>
      </c>
      <c r="D22" s="222"/>
      <c r="E22" s="215"/>
      <c r="F22" s="40"/>
      <c r="G22" s="26">
        <f t="shared" si="4"/>
        <v>0</v>
      </c>
      <c r="H22" s="42"/>
      <c r="I22" s="20">
        <f t="shared" si="5"/>
        <v>0</v>
      </c>
      <c r="J22" s="222"/>
      <c r="K22" s="215"/>
      <c r="L22" s="40"/>
      <c r="M22" s="26">
        <f t="shared" si="0"/>
        <v>0</v>
      </c>
      <c r="N22" s="42"/>
      <c r="O22" s="20">
        <f t="shared" si="1"/>
        <v>0</v>
      </c>
      <c r="P22" s="222"/>
      <c r="Q22" s="215"/>
      <c r="R22" s="40"/>
      <c r="S22" s="26">
        <f t="shared" si="6"/>
        <v>0</v>
      </c>
      <c r="T22" s="42"/>
      <c r="U22" s="20">
        <f t="shared" si="2"/>
        <v>0</v>
      </c>
      <c r="V22" s="222"/>
      <c r="W22" s="215"/>
      <c r="X22" s="40"/>
      <c r="Y22" s="26">
        <f t="shared" si="7"/>
        <v>0</v>
      </c>
      <c r="Z22" s="42"/>
      <c r="AA22" s="20">
        <f t="shared" si="3"/>
        <v>0</v>
      </c>
      <c r="AB22" s="212" t="e">
        <f t="shared" si="8"/>
        <v>#DIV/0!</v>
      </c>
      <c r="AC22" s="201"/>
      <c r="AD22" s="201"/>
    </row>
    <row r="23" spans="1:30" ht="15.75" thickBot="1" x14ac:dyDescent="0.3">
      <c r="A23" s="199"/>
      <c r="B23" s="43" t="s">
        <v>39</v>
      </c>
      <c r="C23" s="44" t="s">
        <v>40</v>
      </c>
      <c r="D23" s="228"/>
      <c r="E23" s="229"/>
      <c r="F23" s="47"/>
      <c r="G23" s="48">
        <f t="shared" si="4"/>
        <v>0</v>
      </c>
      <c r="H23" s="49"/>
      <c r="I23" s="50">
        <f t="shared" si="5"/>
        <v>0</v>
      </c>
      <c r="J23" s="228"/>
      <c r="K23" s="229"/>
      <c r="L23" s="47"/>
      <c r="M23" s="48">
        <f t="shared" si="0"/>
        <v>0</v>
      </c>
      <c r="N23" s="49"/>
      <c r="O23" s="50">
        <f t="shared" si="1"/>
        <v>0</v>
      </c>
      <c r="P23" s="228"/>
      <c r="Q23" s="229"/>
      <c r="R23" s="47"/>
      <c r="S23" s="48">
        <f t="shared" si="6"/>
        <v>0</v>
      </c>
      <c r="T23" s="49"/>
      <c r="U23" s="50">
        <f t="shared" si="2"/>
        <v>0</v>
      </c>
      <c r="V23" s="228"/>
      <c r="W23" s="229"/>
      <c r="X23" s="47"/>
      <c r="Y23" s="48">
        <f t="shared" si="7"/>
        <v>0</v>
      </c>
      <c r="Z23" s="49"/>
      <c r="AA23" s="50">
        <f t="shared" si="3"/>
        <v>0</v>
      </c>
      <c r="AB23" s="230" t="e">
        <f t="shared" si="8"/>
        <v>#DIV/0!</v>
      </c>
      <c r="AC23" s="201"/>
      <c r="AD23" s="201"/>
    </row>
    <row r="24" spans="1:30" ht="15.75" thickBot="1" x14ac:dyDescent="0.3">
      <c r="A24" s="199"/>
      <c r="B24" s="231" t="s">
        <v>41</v>
      </c>
      <c r="C24" s="232" t="s">
        <v>42</v>
      </c>
      <c r="D24" s="233">
        <f>SUM(D15:D21)</f>
        <v>1224</v>
      </c>
      <c r="E24" s="234">
        <f>SUM(E15:E21)</f>
        <v>8807.2799999999988</v>
      </c>
      <c r="F24" s="234">
        <f>SUM(F15:F21)</f>
        <v>2410.1580000000004</v>
      </c>
      <c r="G24" s="235">
        <f>SUM(D24:F24)</f>
        <v>12441.437999999998</v>
      </c>
      <c r="H24" s="236">
        <f>SUM(H15:H21)</f>
        <v>294.649</v>
      </c>
      <c r="I24" s="236">
        <f>SUM(I15:I21)</f>
        <v>12736.087</v>
      </c>
      <c r="J24" s="233">
        <f>SUM(J15:J21)</f>
        <v>1144</v>
      </c>
      <c r="K24" s="234">
        <f>SUM(K15:K21)</f>
        <v>8082.1</v>
      </c>
      <c r="L24" s="234">
        <f>SUM(L15:L21)</f>
        <v>2502</v>
      </c>
      <c r="M24" s="235">
        <f>SUM(J24:L24)</f>
        <v>11728.1</v>
      </c>
      <c r="N24" s="236">
        <f>SUM(N15:N21)</f>
        <v>356</v>
      </c>
      <c r="O24" s="236">
        <f>SUM(O15:O21)</f>
        <v>12078.1</v>
      </c>
      <c r="P24" s="233">
        <f>SUM(P15:P21)</f>
        <v>625</v>
      </c>
      <c r="Q24" s="234">
        <f>SUM(Q15:Q21)</f>
        <v>4867.5</v>
      </c>
      <c r="R24" s="234">
        <f>SUM(R15:R21)</f>
        <v>2186.6999999999998</v>
      </c>
      <c r="S24" s="235">
        <f>SUM(P24:R24)</f>
        <v>7679.2</v>
      </c>
      <c r="T24" s="236">
        <f>SUM(T15:T21)</f>
        <v>125.6</v>
      </c>
      <c r="U24" s="236">
        <f>SUM(U15:U21)</f>
        <v>7804.8</v>
      </c>
      <c r="V24" s="233">
        <f>SUM(V15:V21)</f>
        <v>1170.5</v>
      </c>
      <c r="W24" s="234">
        <f>SUM(W15:W21)</f>
        <v>9399.7999999999993</v>
      </c>
      <c r="X24" s="234">
        <f>SUM(X15:X21)</f>
        <v>3402</v>
      </c>
      <c r="Y24" s="235">
        <f>SUM(V24:X24)</f>
        <v>13972.3</v>
      </c>
      <c r="Z24" s="236">
        <f>SUM(Z15:Z21)</f>
        <v>356</v>
      </c>
      <c r="AA24" s="236">
        <f>SUM(AA15:AA21)</f>
        <v>14328.3</v>
      </c>
      <c r="AB24" s="237">
        <f t="shared" si="8"/>
        <v>1.1863041372401288</v>
      </c>
      <c r="AC24" s="201"/>
      <c r="AD24" s="201"/>
    </row>
    <row r="25" spans="1:30" ht="15.75" customHeight="1" thickBot="1" x14ac:dyDescent="0.3">
      <c r="A25" s="199"/>
      <c r="B25" s="238"/>
      <c r="C25" s="239"/>
      <c r="D25" s="385" t="s">
        <v>43</v>
      </c>
      <c r="E25" s="386"/>
      <c r="F25" s="386"/>
      <c r="G25" s="387"/>
      <c r="H25" s="387"/>
      <c r="I25" s="388"/>
      <c r="J25" s="385" t="s">
        <v>43</v>
      </c>
      <c r="K25" s="386"/>
      <c r="L25" s="386"/>
      <c r="M25" s="387"/>
      <c r="N25" s="387"/>
      <c r="O25" s="388"/>
      <c r="P25" s="385" t="s">
        <v>43</v>
      </c>
      <c r="Q25" s="386"/>
      <c r="R25" s="386"/>
      <c r="S25" s="387"/>
      <c r="T25" s="387"/>
      <c r="U25" s="388"/>
      <c r="V25" s="385" t="s">
        <v>43</v>
      </c>
      <c r="W25" s="386"/>
      <c r="X25" s="386"/>
      <c r="Y25" s="387"/>
      <c r="Z25" s="387"/>
      <c r="AA25" s="388"/>
      <c r="AB25" s="389" t="s">
        <v>12</v>
      </c>
      <c r="AC25" s="201"/>
      <c r="AD25" s="201"/>
    </row>
    <row r="26" spans="1:30" ht="15.75" thickBot="1" x14ac:dyDescent="0.3">
      <c r="A26" s="199"/>
      <c r="B26" s="379" t="s">
        <v>6</v>
      </c>
      <c r="C26" s="381" t="s">
        <v>7</v>
      </c>
      <c r="D26" s="377" t="s">
        <v>44</v>
      </c>
      <c r="E26" s="378"/>
      <c r="F26" s="378"/>
      <c r="G26" s="325" t="s">
        <v>45</v>
      </c>
      <c r="H26" s="315" t="s">
        <v>46</v>
      </c>
      <c r="I26" s="371" t="s">
        <v>43</v>
      </c>
      <c r="J26" s="377" t="s">
        <v>44</v>
      </c>
      <c r="K26" s="378"/>
      <c r="L26" s="378"/>
      <c r="M26" s="325" t="s">
        <v>45</v>
      </c>
      <c r="N26" s="315" t="s">
        <v>46</v>
      </c>
      <c r="O26" s="371" t="s">
        <v>43</v>
      </c>
      <c r="P26" s="377" t="s">
        <v>44</v>
      </c>
      <c r="Q26" s="378"/>
      <c r="R26" s="378"/>
      <c r="S26" s="325" t="s">
        <v>45</v>
      </c>
      <c r="T26" s="315" t="s">
        <v>46</v>
      </c>
      <c r="U26" s="371" t="s">
        <v>43</v>
      </c>
      <c r="V26" s="377" t="s">
        <v>44</v>
      </c>
      <c r="W26" s="378"/>
      <c r="X26" s="378"/>
      <c r="Y26" s="325" t="s">
        <v>45</v>
      </c>
      <c r="Z26" s="315" t="s">
        <v>46</v>
      </c>
      <c r="AA26" s="371" t="s">
        <v>43</v>
      </c>
      <c r="AB26" s="390"/>
      <c r="AC26" s="201"/>
      <c r="AD26" s="201"/>
    </row>
    <row r="27" spans="1:30" ht="15.75" thickBot="1" x14ac:dyDescent="0.3">
      <c r="A27" s="199"/>
      <c r="B27" s="380"/>
      <c r="C27" s="382"/>
      <c r="D27" s="240" t="s">
        <v>47</v>
      </c>
      <c r="E27" s="241" t="s">
        <v>48</v>
      </c>
      <c r="F27" s="242" t="s">
        <v>49</v>
      </c>
      <c r="G27" s="326"/>
      <c r="H27" s="316"/>
      <c r="I27" s="372"/>
      <c r="J27" s="240" t="s">
        <v>47</v>
      </c>
      <c r="K27" s="241" t="s">
        <v>48</v>
      </c>
      <c r="L27" s="242" t="s">
        <v>49</v>
      </c>
      <c r="M27" s="326"/>
      <c r="N27" s="316"/>
      <c r="O27" s="372"/>
      <c r="P27" s="240" t="s">
        <v>47</v>
      </c>
      <c r="Q27" s="241" t="s">
        <v>48</v>
      </c>
      <c r="R27" s="242" t="s">
        <v>49</v>
      </c>
      <c r="S27" s="326"/>
      <c r="T27" s="316"/>
      <c r="U27" s="372"/>
      <c r="V27" s="240" t="s">
        <v>47</v>
      </c>
      <c r="W27" s="241" t="s">
        <v>48</v>
      </c>
      <c r="X27" s="242" t="s">
        <v>49</v>
      </c>
      <c r="Y27" s="326"/>
      <c r="Z27" s="316"/>
      <c r="AA27" s="372"/>
      <c r="AB27" s="391"/>
      <c r="AC27" s="201"/>
      <c r="AD27" s="201"/>
    </row>
    <row r="28" spans="1:30" x14ac:dyDescent="0.25">
      <c r="A28" s="199"/>
      <c r="B28" s="13" t="s">
        <v>50</v>
      </c>
      <c r="C28" s="64" t="s">
        <v>51</v>
      </c>
      <c r="D28" s="65"/>
      <c r="E28" s="65"/>
      <c r="F28" s="65">
        <v>611.11199999999997</v>
      </c>
      <c r="G28" s="66">
        <f>SUM(D28:F28)</f>
        <v>611.11199999999997</v>
      </c>
      <c r="H28" s="66">
        <v>139.94200000000001</v>
      </c>
      <c r="I28" s="67">
        <f>G28+H28</f>
        <v>751.05399999999997</v>
      </c>
      <c r="J28" s="68"/>
      <c r="K28" s="65"/>
      <c r="L28" s="65">
        <v>250</v>
      </c>
      <c r="M28" s="66">
        <f>SUM(J28:L28)</f>
        <v>250</v>
      </c>
      <c r="N28" s="66">
        <v>300</v>
      </c>
      <c r="O28" s="67">
        <f>M28+N28</f>
        <v>550</v>
      </c>
      <c r="P28" s="68"/>
      <c r="Q28" s="65"/>
      <c r="R28" s="65">
        <v>156.4</v>
      </c>
      <c r="S28" s="66">
        <f>SUM(P28:R28)</f>
        <v>156.4</v>
      </c>
      <c r="T28" s="66"/>
      <c r="U28" s="67">
        <f>S28+T28</f>
        <v>156.4</v>
      </c>
      <c r="V28" s="68"/>
      <c r="W28" s="65"/>
      <c r="X28" s="65">
        <v>250</v>
      </c>
      <c r="Y28" s="66">
        <f>SUM(V28:X28)</f>
        <v>250</v>
      </c>
      <c r="Z28" s="66">
        <v>300</v>
      </c>
      <c r="AA28" s="67">
        <f>Y28+Z28</f>
        <v>550</v>
      </c>
      <c r="AB28" s="212">
        <f t="shared" ref="AB28:AB41" si="9">(AA28/O28)</f>
        <v>1</v>
      </c>
      <c r="AC28" s="201"/>
      <c r="AD28" s="201"/>
    </row>
    <row r="29" spans="1:30" x14ac:dyDescent="0.25">
      <c r="A29" s="199"/>
      <c r="B29" s="22" t="s">
        <v>52</v>
      </c>
      <c r="C29" s="69" t="s">
        <v>53</v>
      </c>
      <c r="D29" s="70">
        <v>192.8</v>
      </c>
      <c r="E29" s="70">
        <f>79.865+3.399</f>
        <v>83.263999999999996</v>
      </c>
      <c r="F29" s="70">
        <f>350.5-3.399</f>
        <v>347.101</v>
      </c>
      <c r="G29" s="71">
        <f t="shared" ref="G29:G38" si="10">SUM(D29:F29)</f>
        <v>623.16499999999996</v>
      </c>
      <c r="H29" s="72"/>
      <c r="I29" s="20">
        <f t="shared" ref="I29:I38" si="11">G29+H29</f>
        <v>623.16499999999996</v>
      </c>
      <c r="J29" s="73">
        <v>200</v>
      </c>
      <c r="K29" s="70">
        <v>80</v>
      </c>
      <c r="L29" s="70">
        <v>400</v>
      </c>
      <c r="M29" s="71">
        <f t="shared" ref="M29:M38" si="12">SUM(J29:L29)</f>
        <v>680</v>
      </c>
      <c r="N29" s="72"/>
      <c r="O29" s="20">
        <f t="shared" ref="O29:O38" si="13">M29+N29</f>
        <v>680</v>
      </c>
      <c r="P29" s="73">
        <v>134.4</v>
      </c>
      <c r="Q29" s="70">
        <v>90.8</v>
      </c>
      <c r="R29" s="70">
        <v>99.4</v>
      </c>
      <c r="S29" s="71">
        <f t="shared" ref="S29:S38" si="14">SUM(P29:R29)</f>
        <v>324.60000000000002</v>
      </c>
      <c r="T29" s="72"/>
      <c r="U29" s="20">
        <f t="shared" ref="U29:U38" si="15">S29+T29</f>
        <v>324.60000000000002</v>
      </c>
      <c r="V29" s="73">
        <v>193</v>
      </c>
      <c r="W29" s="70">
        <v>120</v>
      </c>
      <c r="X29" s="70">
        <v>400</v>
      </c>
      <c r="Y29" s="71">
        <f t="shared" ref="Y29:Y38" si="16">SUM(V29:X29)</f>
        <v>713</v>
      </c>
      <c r="Z29" s="72"/>
      <c r="AA29" s="20">
        <f t="shared" ref="AA29:AA38" si="17">Y29+Z29</f>
        <v>713</v>
      </c>
      <c r="AB29" s="212">
        <f t="shared" si="9"/>
        <v>1.0485294117647059</v>
      </c>
      <c r="AC29" s="201"/>
      <c r="AD29" s="201"/>
    </row>
    <row r="30" spans="1:30" x14ac:dyDescent="0.25">
      <c r="A30" s="199"/>
      <c r="B30" s="22" t="s">
        <v>54</v>
      </c>
      <c r="C30" s="41" t="s">
        <v>55</v>
      </c>
      <c r="D30" s="74">
        <v>680.53800000000001</v>
      </c>
      <c r="E30" s="74">
        <v>21.99</v>
      </c>
      <c r="F30" s="74" t="s">
        <v>56</v>
      </c>
      <c r="G30" s="71">
        <f t="shared" si="10"/>
        <v>702.52800000000002</v>
      </c>
      <c r="H30" s="71">
        <v>65.787000000000006</v>
      </c>
      <c r="I30" s="20">
        <f t="shared" si="11"/>
        <v>768.31500000000005</v>
      </c>
      <c r="J30" s="75">
        <v>600</v>
      </c>
      <c r="K30" s="74"/>
      <c r="L30" s="74">
        <v>100</v>
      </c>
      <c r="M30" s="71">
        <f t="shared" si="12"/>
        <v>700</v>
      </c>
      <c r="N30" s="71">
        <v>50</v>
      </c>
      <c r="O30" s="20">
        <f t="shared" si="13"/>
        <v>750</v>
      </c>
      <c r="P30" s="75">
        <v>516.6</v>
      </c>
      <c r="Q30" s="74"/>
      <c r="R30" s="74"/>
      <c r="S30" s="71">
        <f t="shared" si="14"/>
        <v>516.6</v>
      </c>
      <c r="T30" s="71">
        <v>5.5</v>
      </c>
      <c r="U30" s="20">
        <f t="shared" si="15"/>
        <v>522.1</v>
      </c>
      <c r="V30" s="75">
        <v>600</v>
      </c>
      <c r="W30" s="74"/>
      <c r="X30" s="74">
        <v>100</v>
      </c>
      <c r="Y30" s="71">
        <f t="shared" si="16"/>
        <v>700</v>
      </c>
      <c r="Z30" s="71">
        <v>56</v>
      </c>
      <c r="AA30" s="20">
        <f t="shared" si="17"/>
        <v>756</v>
      </c>
      <c r="AB30" s="212">
        <f t="shared" si="9"/>
        <v>1.008</v>
      </c>
      <c r="AC30" s="201"/>
      <c r="AD30" s="201"/>
    </row>
    <row r="31" spans="1:30" x14ac:dyDescent="0.25">
      <c r="A31" s="199"/>
      <c r="B31" s="22" t="s">
        <v>57</v>
      </c>
      <c r="C31" s="41" t="s">
        <v>58</v>
      </c>
      <c r="D31" s="74">
        <v>215.2</v>
      </c>
      <c r="E31" s="74">
        <f>27.428+55.478</f>
        <v>82.906000000000006</v>
      </c>
      <c r="F31" s="74">
        <f>658.71-55.478</f>
        <v>603.23200000000008</v>
      </c>
      <c r="G31" s="71">
        <f t="shared" si="10"/>
        <v>901.33800000000008</v>
      </c>
      <c r="H31" s="71"/>
      <c r="I31" s="20">
        <f t="shared" si="11"/>
        <v>901.33800000000008</v>
      </c>
      <c r="J31" s="75">
        <v>186</v>
      </c>
      <c r="K31" s="74">
        <v>45</v>
      </c>
      <c r="L31" s="74">
        <v>752</v>
      </c>
      <c r="M31" s="71">
        <f t="shared" si="12"/>
        <v>983</v>
      </c>
      <c r="N31" s="71"/>
      <c r="O31" s="20">
        <f t="shared" si="13"/>
        <v>983</v>
      </c>
      <c r="P31" s="75">
        <v>256.8</v>
      </c>
      <c r="Q31" s="74">
        <v>59.5</v>
      </c>
      <c r="R31" s="74">
        <v>52</v>
      </c>
      <c r="S31" s="71">
        <f t="shared" si="14"/>
        <v>368.3</v>
      </c>
      <c r="T31" s="71"/>
      <c r="U31" s="20">
        <f t="shared" si="15"/>
        <v>368.3</v>
      </c>
      <c r="V31" s="75">
        <v>215</v>
      </c>
      <c r="W31" s="74">
        <v>178.5</v>
      </c>
      <c r="X31" s="74">
        <v>752</v>
      </c>
      <c r="Y31" s="71">
        <f t="shared" si="16"/>
        <v>1145.5</v>
      </c>
      <c r="Z31" s="71"/>
      <c r="AA31" s="20">
        <f t="shared" si="17"/>
        <v>1145.5</v>
      </c>
      <c r="AB31" s="212">
        <f t="shared" si="9"/>
        <v>1.1653102746693795</v>
      </c>
      <c r="AC31" s="201"/>
      <c r="AD31" s="201"/>
    </row>
    <row r="32" spans="1:30" x14ac:dyDescent="0.25">
      <c r="A32" s="199"/>
      <c r="B32" s="22" t="s">
        <v>59</v>
      </c>
      <c r="C32" s="41" t="s">
        <v>60</v>
      </c>
      <c r="D32" s="76" t="s">
        <v>56</v>
      </c>
      <c r="E32" s="74">
        <v>6324.5</v>
      </c>
      <c r="F32" s="74">
        <v>321.10000000000002</v>
      </c>
      <c r="G32" s="71">
        <f t="shared" si="10"/>
        <v>6645.6</v>
      </c>
      <c r="H32" s="71"/>
      <c r="I32" s="20">
        <f t="shared" si="11"/>
        <v>6645.6</v>
      </c>
      <c r="J32" s="77"/>
      <c r="K32" s="74">
        <v>5831.5</v>
      </c>
      <c r="L32" s="74">
        <v>210</v>
      </c>
      <c r="M32" s="71">
        <f t="shared" si="12"/>
        <v>6041.5</v>
      </c>
      <c r="N32" s="71"/>
      <c r="O32" s="20">
        <f t="shared" si="13"/>
        <v>6041.5</v>
      </c>
      <c r="P32" s="77"/>
      <c r="Q32" s="74">
        <v>3571.9</v>
      </c>
      <c r="R32" s="74"/>
      <c r="S32" s="71">
        <f t="shared" si="14"/>
        <v>3571.9</v>
      </c>
      <c r="T32" s="71"/>
      <c r="U32" s="20">
        <f t="shared" si="15"/>
        <v>3571.9</v>
      </c>
      <c r="V32" s="77"/>
      <c r="W32" s="74">
        <f>W33+W34</f>
        <v>7342.2</v>
      </c>
      <c r="X32" s="74">
        <f>X33+X34</f>
        <v>210</v>
      </c>
      <c r="Y32" s="71">
        <f t="shared" si="16"/>
        <v>7552.2</v>
      </c>
      <c r="Z32" s="71"/>
      <c r="AA32" s="20">
        <f t="shared" si="17"/>
        <v>7552.2</v>
      </c>
      <c r="AB32" s="212">
        <f t="shared" si="9"/>
        <v>1.2500537945874368</v>
      </c>
      <c r="AC32" s="201"/>
      <c r="AD32" s="201"/>
    </row>
    <row r="33" spans="1:30" x14ac:dyDescent="0.25">
      <c r="A33" s="199"/>
      <c r="B33" s="22" t="s">
        <v>61</v>
      </c>
      <c r="C33" s="224" t="s">
        <v>62</v>
      </c>
      <c r="D33" s="76" t="s">
        <v>56</v>
      </c>
      <c r="E33" s="74">
        <f>5788.657+10.512+143.919</f>
        <v>5943.0879999999997</v>
      </c>
      <c r="F33" s="74">
        <v>306.20499999999998</v>
      </c>
      <c r="G33" s="71">
        <f t="shared" si="10"/>
        <v>6249.2929999999997</v>
      </c>
      <c r="H33" s="71"/>
      <c r="I33" s="20">
        <f t="shared" si="11"/>
        <v>6249.2929999999997</v>
      </c>
      <c r="J33" s="77"/>
      <c r="K33" s="74">
        <v>5681.5</v>
      </c>
      <c r="L33" s="74">
        <v>200</v>
      </c>
      <c r="M33" s="71">
        <f t="shared" si="12"/>
        <v>5881.5</v>
      </c>
      <c r="N33" s="71"/>
      <c r="O33" s="20">
        <f t="shared" si="13"/>
        <v>5881.5</v>
      </c>
      <c r="P33" s="77"/>
      <c r="Q33" s="74">
        <v>3106.5</v>
      </c>
      <c r="R33" s="74"/>
      <c r="S33" s="71">
        <f t="shared" si="14"/>
        <v>3106.5</v>
      </c>
      <c r="T33" s="71"/>
      <c r="U33" s="20">
        <f t="shared" si="15"/>
        <v>3106.5</v>
      </c>
      <c r="V33" s="77"/>
      <c r="W33" s="74">
        <v>6442.2</v>
      </c>
      <c r="X33" s="74">
        <v>200</v>
      </c>
      <c r="Y33" s="71">
        <f t="shared" si="16"/>
        <v>6642.2</v>
      </c>
      <c r="Z33" s="71"/>
      <c r="AA33" s="20">
        <f t="shared" si="17"/>
        <v>6642.2</v>
      </c>
      <c r="AB33" s="212">
        <f t="shared" si="9"/>
        <v>1.1293377539743263</v>
      </c>
      <c r="AC33" s="201"/>
      <c r="AD33" s="201"/>
    </row>
    <row r="34" spans="1:30" x14ac:dyDescent="0.25">
      <c r="A34" s="199"/>
      <c r="B34" s="22" t="s">
        <v>63</v>
      </c>
      <c r="C34" s="243" t="s">
        <v>64</v>
      </c>
      <c r="D34" s="76" t="s">
        <v>56</v>
      </c>
      <c r="E34" s="74">
        <f>331.42+50</f>
        <v>381.42</v>
      </c>
      <c r="F34" s="74">
        <v>14.919</v>
      </c>
      <c r="G34" s="71">
        <f t="shared" si="10"/>
        <v>396.339</v>
      </c>
      <c r="H34" s="71"/>
      <c r="I34" s="20">
        <f t="shared" si="11"/>
        <v>396.339</v>
      </c>
      <c r="J34" s="77"/>
      <c r="K34" s="74">
        <v>150</v>
      </c>
      <c r="L34" s="74">
        <v>10</v>
      </c>
      <c r="M34" s="71">
        <f>SUM(J34:L34)</f>
        <v>160</v>
      </c>
      <c r="N34" s="71"/>
      <c r="O34" s="20">
        <f t="shared" si="13"/>
        <v>160</v>
      </c>
      <c r="P34" s="77" t="s">
        <v>56</v>
      </c>
      <c r="Q34" s="74">
        <v>465.5</v>
      </c>
      <c r="R34" s="74"/>
      <c r="S34" s="71">
        <f t="shared" si="14"/>
        <v>465.5</v>
      </c>
      <c r="T34" s="71"/>
      <c r="U34" s="20">
        <f t="shared" si="15"/>
        <v>465.5</v>
      </c>
      <c r="V34" s="77" t="s">
        <v>56</v>
      </c>
      <c r="W34" s="74">
        <v>900</v>
      </c>
      <c r="X34" s="74">
        <v>10</v>
      </c>
      <c r="Y34" s="71">
        <f t="shared" si="16"/>
        <v>910</v>
      </c>
      <c r="Z34" s="71"/>
      <c r="AA34" s="20">
        <f t="shared" si="17"/>
        <v>910</v>
      </c>
      <c r="AB34" s="212">
        <f t="shared" si="9"/>
        <v>5.6875</v>
      </c>
      <c r="AC34" s="201"/>
      <c r="AD34" s="201"/>
    </row>
    <row r="35" spans="1:30" x14ac:dyDescent="0.25">
      <c r="A35" s="199"/>
      <c r="B35" s="22" t="s">
        <v>65</v>
      </c>
      <c r="C35" s="41" t="s">
        <v>66</v>
      </c>
      <c r="D35" s="76" t="s">
        <v>56</v>
      </c>
      <c r="E35" s="74">
        <v>2072.732</v>
      </c>
      <c r="F35" s="74">
        <v>115.062</v>
      </c>
      <c r="G35" s="71">
        <f t="shared" si="10"/>
        <v>2187.7939999999999</v>
      </c>
      <c r="H35" s="71"/>
      <c r="I35" s="20">
        <f t="shared" si="11"/>
        <v>2187.7939999999999</v>
      </c>
      <c r="J35" s="77"/>
      <c r="K35" s="74">
        <v>2125.6</v>
      </c>
      <c r="L35" s="74">
        <v>75</v>
      </c>
      <c r="M35" s="71">
        <f t="shared" si="12"/>
        <v>2200.6</v>
      </c>
      <c r="N35" s="71"/>
      <c r="O35" s="20">
        <f t="shared" si="13"/>
        <v>2200.6</v>
      </c>
      <c r="P35" s="77"/>
      <c r="Q35" s="74">
        <v>1138.9000000000001</v>
      </c>
      <c r="R35" s="74"/>
      <c r="S35" s="71">
        <f t="shared" si="14"/>
        <v>1138.9000000000001</v>
      </c>
      <c r="T35" s="71"/>
      <c r="U35" s="20">
        <f t="shared" si="15"/>
        <v>1138.9000000000001</v>
      </c>
      <c r="V35" s="77"/>
      <c r="W35" s="74">
        <v>2421.3000000000002</v>
      </c>
      <c r="X35" s="74">
        <v>75</v>
      </c>
      <c r="Y35" s="71">
        <f t="shared" si="16"/>
        <v>2496.3000000000002</v>
      </c>
      <c r="Z35" s="71"/>
      <c r="AA35" s="20">
        <f t="shared" si="17"/>
        <v>2496.3000000000002</v>
      </c>
      <c r="AB35" s="212">
        <f t="shared" si="9"/>
        <v>1.1343724438789422</v>
      </c>
      <c r="AC35" s="201"/>
      <c r="AD35" s="201"/>
    </row>
    <row r="36" spans="1:30" x14ac:dyDescent="0.25">
      <c r="A36" s="199"/>
      <c r="B36" s="22" t="s">
        <v>67</v>
      </c>
      <c r="C36" s="41" t="s">
        <v>68</v>
      </c>
      <c r="D36" s="74" t="s">
        <v>56</v>
      </c>
      <c r="E36" s="74"/>
      <c r="F36" s="74">
        <v>4.2</v>
      </c>
      <c r="G36" s="71">
        <f t="shared" si="10"/>
        <v>4.2</v>
      </c>
      <c r="H36" s="71"/>
      <c r="I36" s="20">
        <f t="shared" si="11"/>
        <v>4.2</v>
      </c>
      <c r="J36" s="75"/>
      <c r="K36" s="74"/>
      <c r="L36" s="74">
        <v>8</v>
      </c>
      <c r="M36" s="71">
        <f t="shared" si="12"/>
        <v>8</v>
      </c>
      <c r="N36" s="71"/>
      <c r="O36" s="20">
        <f t="shared" si="13"/>
        <v>8</v>
      </c>
      <c r="P36" s="75"/>
      <c r="Q36" s="74"/>
      <c r="R36" s="74">
        <v>8</v>
      </c>
      <c r="S36" s="71">
        <f t="shared" si="14"/>
        <v>8</v>
      </c>
      <c r="T36" s="71"/>
      <c r="U36" s="20">
        <f t="shared" si="15"/>
        <v>8</v>
      </c>
      <c r="V36" s="75"/>
      <c r="W36" s="74"/>
      <c r="X36" s="74">
        <v>8</v>
      </c>
      <c r="Y36" s="71">
        <f t="shared" si="16"/>
        <v>8</v>
      </c>
      <c r="Z36" s="71"/>
      <c r="AA36" s="20">
        <f t="shared" si="17"/>
        <v>8</v>
      </c>
      <c r="AB36" s="212">
        <f t="shared" si="9"/>
        <v>1</v>
      </c>
      <c r="AC36" s="201"/>
      <c r="AD36" s="201"/>
    </row>
    <row r="37" spans="1:30" x14ac:dyDescent="0.25">
      <c r="A37" s="199"/>
      <c r="B37" s="22" t="s">
        <v>69</v>
      </c>
      <c r="C37" s="41" t="s">
        <v>70</v>
      </c>
      <c r="D37" s="74">
        <v>135.5</v>
      </c>
      <c r="E37" s="74"/>
      <c r="F37" s="74">
        <v>7.02</v>
      </c>
      <c r="G37" s="71">
        <f t="shared" si="10"/>
        <v>142.52000000000001</v>
      </c>
      <c r="H37" s="71"/>
      <c r="I37" s="20">
        <f t="shared" si="11"/>
        <v>142.52000000000001</v>
      </c>
      <c r="J37" s="75">
        <v>158</v>
      </c>
      <c r="K37" s="74"/>
      <c r="L37" s="74">
        <v>7</v>
      </c>
      <c r="M37" s="71">
        <f t="shared" si="12"/>
        <v>165</v>
      </c>
      <c r="N37" s="71"/>
      <c r="O37" s="20">
        <f t="shared" si="13"/>
        <v>165</v>
      </c>
      <c r="P37" s="75">
        <v>79.599999999999994</v>
      </c>
      <c r="Q37" s="74"/>
      <c r="R37" s="74">
        <v>3.5</v>
      </c>
      <c r="S37" s="71">
        <f t="shared" si="14"/>
        <v>83.1</v>
      </c>
      <c r="T37" s="71"/>
      <c r="U37" s="20">
        <f t="shared" si="15"/>
        <v>83.1</v>
      </c>
      <c r="V37" s="75">
        <v>162.529</v>
      </c>
      <c r="W37" s="74"/>
      <c r="X37" s="74">
        <v>7</v>
      </c>
      <c r="Y37" s="71">
        <f t="shared" si="16"/>
        <v>169.529</v>
      </c>
      <c r="Z37" s="71"/>
      <c r="AA37" s="20">
        <f t="shared" si="17"/>
        <v>169.529</v>
      </c>
      <c r="AB37" s="212">
        <f t="shared" si="9"/>
        <v>1.0274484848484848</v>
      </c>
      <c r="AC37" s="201"/>
      <c r="AD37" s="201"/>
    </row>
    <row r="38" spans="1:30" ht="15.75" thickBot="1" x14ac:dyDescent="0.3">
      <c r="A38" s="199"/>
      <c r="B38" s="79" t="s">
        <v>71</v>
      </c>
      <c r="C38" s="80" t="s">
        <v>72</v>
      </c>
      <c r="D38" s="81"/>
      <c r="E38" s="81">
        <f>0.252+25.011+136.363+1.15+59.1</f>
        <v>221.876</v>
      </c>
      <c r="F38" s="81">
        <f>8.131+364.283+22.194+2.276+2.015+9.311+1-1.15-59.1</f>
        <v>348.96</v>
      </c>
      <c r="G38" s="71">
        <f t="shared" si="10"/>
        <v>570.83600000000001</v>
      </c>
      <c r="H38" s="82"/>
      <c r="I38" s="50">
        <f t="shared" si="11"/>
        <v>570.83600000000001</v>
      </c>
      <c r="J38" s="83"/>
      <c r="K38" s="81"/>
      <c r="L38" s="81">
        <v>700</v>
      </c>
      <c r="M38" s="82">
        <f t="shared" si="12"/>
        <v>700</v>
      </c>
      <c r="N38" s="82"/>
      <c r="O38" s="50">
        <f t="shared" si="13"/>
        <v>700</v>
      </c>
      <c r="P38" s="83"/>
      <c r="Q38" s="81">
        <v>99.5</v>
      </c>
      <c r="R38" s="81">
        <v>88.8</v>
      </c>
      <c r="S38" s="82">
        <f t="shared" si="14"/>
        <v>188.3</v>
      </c>
      <c r="T38" s="82"/>
      <c r="U38" s="50">
        <f t="shared" si="15"/>
        <v>188.3</v>
      </c>
      <c r="V38" s="83"/>
      <c r="W38" s="81">
        <v>237.8</v>
      </c>
      <c r="X38" s="81">
        <v>700</v>
      </c>
      <c r="Y38" s="82">
        <f t="shared" si="16"/>
        <v>937.8</v>
      </c>
      <c r="Z38" s="82"/>
      <c r="AA38" s="50">
        <f t="shared" si="17"/>
        <v>937.8</v>
      </c>
      <c r="AB38" s="230">
        <f t="shared" si="9"/>
        <v>1.3397142857142856</v>
      </c>
      <c r="AC38" s="201"/>
      <c r="AD38" s="201"/>
    </row>
    <row r="39" spans="1:30" ht="15.75" thickBot="1" x14ac:dyDescent="0.3">
      <c r="A39" s="199"/>
      <c r="B39" s="231" t="s">
        <v>73</v>
      </c>
      <c r="C39" s="244" t="s">
        <v>74</v>
      </c>
      <c r="D39" s="245">
        <f>SUM(D35:D38)+SUM(D28:D32)</f>
        <v>1224.038</v>
      </c>
      <c r="E39" s="245">
        <f>SUM(E35:E38)+SUM(E28:E32)</f>
        <v>8807.268</v>
      </c>
      <c r="F39" s="245">
        <f>SUM(F35:F38)+SUM(F28:F32)</f>
        <v>2357.7870000000003</v>
      </c>
      <c r="G39" s="246">
        <f>SUM(D39:F39)</f>
        <v>12389.093000000001</v>
      </c>
      <c r="H39" s="247">
        <f>SUM(H28:H32)+SUM(H35:H38)</f>
        <v>205.72900000000001</v>
      </c>
      <c r="I39" s="248">
        <f>SUM(I35:I38)+SUM(I28:I32)</f>
        <v>12594.822</v>
      </c>
      <c r="J39" s="245">
        <f>SUM(J35:J38)+SUM(J28:J32)</f>
        <v>1144</v>
      </c>
      <c r="K39" s="245">
        <f>SUM(K35:K38)+SUM(K28:K32)</f>
        <v>8082.1</v>
      </c>
      <c r="L39" s="245">
        <f>SUM(L35:L38)+SUM(L28:L32)</f>
        <v>2502</v>
      </c>
      <c r="M39" s="246">
        <f>SUM(J39:L39)</f>
        <v>11728.1</v>
      </c>
      <c r="N39" s="247">
        <f>SUM(N28:N32)+SUM(N35:N38)</f>
        <v>350</v>
      </c>
      <c r="O39" s="248">
        <f>SUM(O35:O38)+SUM(O28:O32)</f>
        <v>12078.1</v>
      </c>
      <c r="P39" s="245">
        <f>SUM(P35:P38)+SUM(P28:P32)</f>
        <v>987.4</v>
      </c>
      <c r="Q39" s="245">
        <f>SUM(Q35:Q38)+SUM(Q28:Q32)</f>
        <v>4960.6000000000004</v>
      </c>
      <c r="R39" s="245">
        <f>SUM(R35:R38)+SUM(R28:R32)</f>
        <v>408.1</v>
      </c>
      <c r="S39" s="246">
        <f>SUM(P39:R39)</f>
        <v>6356.1</v>
      </c>
      <c r="T39" s="247">
        <f>SUM(T28:T32)+SUM(T35:T38)</f>
        <v>5.5</v>
      </c>
      <c r="U39" s="248">
        <f>SUM(U35:U38)+SUM(U28:U32)</f>
        <v>6361.6</v>
      </c>
      <c r="V39" s="245">
        <f>SUM(V35:V38)+SUM(V28:V32)</f>
        <v>1170.529</v>
      </c>
      <c r="W39" s="245">
        <f>SUM(W33:W38)+SUM(W28:W31)</f>
        <v>10299.799999999999</v>
      </c>
      <c r="X39" s="245">
        <f>SUM(X35:X38)+SUM(X28:X32)</f>
        <v>2502</v>
      </c>
      <c r="Y39" s="246">
        <f>SUM(V39:X39)</f>
        <v>13972.329</v>
      </c>
      <c r="Z39" s="247">
        <f>SUM(Z28:Z32)+SUM(Z35:Z38)</f>
        <v>356</v>
      </c>
      <c r="AA39" s="248">
        <f>SUM(AA33:AA38)+SUM(AA28:AA31)</f>
        <v>14328.329</v>
      </c>
      <c r="AB39" s="249">
        <f t="shared" si="9"/>
        <v>1.1863065382800275</v>
      </c>
      <c r="AC39" s="201"/>
      <c r="AD39" s="201"/>
    </row>
    <row r="40" spans="1:30" ht="19.5" thickBot="1" x14ac:dyDescent="0.35">
      <c r="A40" s="199"/>
      <c r="B40" s="250" t="s">
        <v>75</v>
      </c>
      <c r="C40" s="251" t="s">
        <v>76</v>
      </c>
      <c r="D40" s="252">
        <f t="shared" ref="D40:AA40" si="18">D24-D39</f>
        <v>-3.8000000000010914E-2</v>
      </c>
      <c r="E40" s="252">
        <f t="shared" si="18"/>
        <v>1.1999999998806743E-2</v>
      </c>
      <c r="F40" s="252">
        <f t="shared" si="18"/>
        <v>52.371000000000095</v>
      </c>
      <c r="G40" s="253">
        <f t="shared" si="18"/>
        <v>52.344999999997526</v>
      </c>
      <c r="H40" s="253">
        <f t="shared" si="18"/>
        <v>88.919999999999987</v>
      </c>
      <c r="I40" s="254">
        <f t="shared" si="18"/>
        <v>141.26499999999942</v>
      </c>
      <c r="J40" s="252">
        <f t="shared" si="18"/>
        <v>0</v>
      </c>
      <c r="K40" s="252">
        <f t="shared" si="18"/>
        <v>0</v>
      </c>
      <c r="L40" s="252">
        <f t="shared" si="18"/>
        <v>0</v>
      </c>
      <c r="M40" s="253">
        <f t="shared" si="18"/>
        <v>0</v>
      </c>
      <c r="N40" s="253">
        <f t="shared" si="18"/>
        <v>6</v>
      </c>
      <c r="O40" s="254">
        <f t="shared" si="18"/>
        <v>0</v>
      </c>
      <c r="P40" s="252">
        <f t="shared" si="18"/>
        <v>-362.4</v>
      </c>
      <c r="Q40" s="252">
        <f t="shared" si="18"/>
        <v>-93.100000000000364</v>
      </c>
      <c r="R40" s="252">
        <f t="shared" si="18"/>
        <v>1778.6</v>
      </c>
      <c r="S40" s="253">
        <f t="shared" si="18"/>
        <v>1323.0999999999995</v>
      </c>
      <c r="T40" s="253">
        <f t="shared" si="18"/>
        <v>120.1</v>
      </c>
      <c r="U40" s="254">
        <f t="shared" si="18"/>
        <v>1443.1999999999998</v>
      </c>
      <c r="V40" s="252">
        <f t="shared" si="18"/>
        <v>-2.8999999999996362E-2</v>
      </c>
      <c r="W40" s="252">
        <f t="shared" si="18"/>
        <v>-900</v>
      </c>
      <c r="X40" s="252">
        <f t="shared" si="18"/>
        <v>900</v>
      </c>
      <c r="Y40" s="253">
        <f t="shared" si="18"/>
        <v>-2.9000000000451109E-2</v>
      </c>
      <c r="Z40" s="253">
        <f t="shared" si="18"/>
        <v>0</v>
      </c>
      <c r="AA40" s="254">
        <f t="shared" si="18"/>
        <v>-2.9000000000451109E-2</v>
      </c>
      <c r="AB40" s="255" t="e">
        <f t="shared" si="9"/>
        <v>#DIV/0!</v>
      </c>
      <c r="AC40" s="201"/>
      <c r="AD40" s="201"/>
    </row>
    <row r="41" spans="1:30" ht="15.75" thickBot="1" x14ac:dyDescent="0.3">
      <c r="A41" s="199"/>
      <c r="B41" s="256" t="s">
        <v>77</v>
      </c>
      <c r="C41" s="257" t="s">
        <v>78</v>
      </c>
      <c r="D41" s="258"/>
      <c r="E41" s="259"/>
      <c r="F41" s="259"/>
      <c r="G41" s="260"/>
      <c r="H41" s="261"/>
      <c r="I41" s="262">
        <f>I40-D16</f>
        <v>-980.73500000000058</v>
      </c>
      <c r="J41" s="258"/>
      <c r="K41" s="259"/>
      <c r="L41" s="259"/>
      <c r="M41" s="260"/>
      <c r="N41" s="263"/>
      <c r="O41" s="262">
        <f>O40-J16</f>
        <v>-1144</v>
      </c>
      <c r="P41" s="258"/>
      <c r="Q41" s="259"/>
      <c r="R41" s="259"/>
      <c r="S41" s="260"/>
      <c r="T41" s="263"/>
      <c r="U41" s="262">
        <f>U40-P16</f>
        <v>893.19999999999982</v>
      </c>
      <c r="V41" s="258"/>
      <c r="W41" s="259"/>
      <c r="X41" s="259"/>
      <c r="Y41" s="260"/>
      <c r="Z41" s="263"/>
      <c r="AA41" s="262">
        <f>AA40-V16</f>
        <v>-1170.5290000000005</v>
      </c>
      <c r="AB41" s="212">
        <f t="shared" si="9"/>
        <v>1.0231896853146858</v>
      </c>
      <c r="AC41" s="201"/>
      <c r="AD41" s="201"/>
    </row>
    <row r="42" spans="1:30" s="110" customFormat="1" ht="8.25" customHeight="1" thickBot="1" x14ac:dyDescent="0.3">
      <c r="A42" s="264"/>
      <c r="B42" s="265"/>
      <c r="C42" s="266"/>
      <c r="D42" s="267"/>
      <c r="E42" s="268"/>
      <c r="F42" s="268"/>
      <c r="G42" s="264"/>
      <c r="H42" s="268"/>
      <c r="I42" s="268"/>
      <c r="J42" s="267"/>
      <c r="K42" s="268"/>
      <c r="L42" s="268"/>
      <c r="M42" s="264"/>
      <c r="N42" s="268"/>
      <c r="O42" s="268"/>
      <c r="P42" s="268"/>
      <c r="Q42" s="268"/>
      <c r="R42" s="268"/>
      <c r="S42" s="268"/>
      <c r="T42" s="268"/>
      <c r="U42" s="268"/>
      <c r="V42" s="269"/>
      <c r="W42" s="269"/>
      <c r="X42" s="269"/>
      <c r="Y42" s="269"/>
      <c r="Z42" s="269"/>
      <c r="AA42" s="269"/>
      <c r="AB42" s="269"/>
      <c r="AC42" s="269"/>
      <c r="AD42" s="269"/>
    </row>
    <row r="43" spans="1:30" s="110" customFormat="1" ht="15.75" customHeight="1" thickBot="1" x14ac:dyDescent="0.3">
      <c r="A43" s="264"/>
      <c r="B43" s="270"/>
      <c r="C43" s="373" t="s">
        <v>79</v>
      </c>
      <c r="D43" s="271" t="s">
        <v>80</v>
      </c>
      <c r="E43" s="272" t="s">
        <v>81</v>
      </c>
      <c r="F43" s="273" t="s">
        <v>82</v>
      </c>
      <c r="G43" s="268"/>
      <c r="H43" s="268"/>
      <c r="I43" s="274"/>
      <c r="J43" s="271" t="s">
        <v>80</v>
      </c>
      <c r="K43" s="272" t="s">
        <v>81</v>
      </c>
      <c r="L43" s="273" t="s">
        <v>82</v>
      </c>
      <c r="M43" s="268"/>
      <c r="N43" s="268"/>
      <c r="O43" s="268"/>
      <c r="P43" s="271" t="s">
        <v>80</v>
      </c>
      <c r="Q43" s="272" t="s">
        <v>81</v>
      </c>
      <c r="R43" s="273" t="s">
        <v>82</v>
      </c>
      <c r="S43" s="269"/>
      <c r="T43" s="269"/>
      <c r="U43" s="269"/>
      <c r="V43" s="271" t="s">
        <v>80</v>
      </c>
      <c r="W43" s="272" t="s">
        <v>81</v>
      </c>
      <c r="X43" s="273" t="s">
        <v>82</v>
      </c>
      <c r="Y43" s="269"/>
      <c r="Z43" s="269"/>
      <c r="AA43" s="269"/>
      <c r="AB43" s="269"/>
      <c r="AC43" s="269"/>
      <c r="AD43" s="269"/>
    </row>
    <row r="44" spans="1:30" ht="15.75" thickBot="1" x14ac:dyDescent="0.3">
      <c r="A44" s="199"/>
      <c r="B44" s="270"/>
      <c r="C44" s="374"/>
      <c r="D44" s="275"/>
      <c r="E44" s="276"/>
      <c r="F44" s="277">
        <v>135.5</v>
      </c>
      <c r="G44" s="268"/>
      <c r="H44" s="268"/>
      <c r="I44" s="274"/>
      <c r="J44" s="275">
        <v>136</v>
      </c>
      <c r="K44" s="276">
        <v>136</v>
      </c>
      <c r="L44" s="277">
        <v>0</v>
      </c>
      <c r="M44" s="278"/>
      <c r="N44" s="278"/>
      <c r="O44" s="278"/>
      <c r="P44" s="275">
        <v>162.5</v>
      </c>
      <c r="Q44" s="276">
        <v>162.5</v>
      </c>
      <c r="R44" s="277">
        <v>0</v>
      </c>
      <c r="S44" s="201"/>
      <c r="T44" s="201"/>
      <c r="U44" s="201"/>
      <c r="V44" s="275">
        <v>162.5</v>
      </c>
      <c r="W44" s="276">
        <v>162.5</v>
      </c>
      <c r="X44" s="277">
        <v>0</v>
      </c>
      <c r="Y44" s="201"/>
      <c r="Z44" s="201"/>
      <c r="AA44" s="201"/>
      <c r="AB44" s="201"/>
      <c r="AC44" s="201"/>
      <c r="AD44" s="201"/>
    </row>
    <row r="45" spans="1:30" s="110" customFormat="1" ht="8.25" customHeight="1" thickBot="1" x14ac:dyDescent="0.3">
      <c r="A45" s="264"/>
      <c r="B45" s="270"/>
      <c r="C45" s="266"/>
      <c r="D45" s="278"/>
      <c r="E45" s="268"/>
      <c r="F45" s="268"/>
      <c r="G45" s="268"/>
      <c r="H45" s="268"/>
      <c r="I45" s="274"/>
      <c r="J45" s="268"/>
      <c r="K45" s="268"/>
      <c r="L45" s="268"/>
      <c r="M45" s="268"/>
      <c r="N45" s="268"/>
      <c r="O45" s="274"/>
      <c r="P45" s="274"/>
      <c r="Q45" s="274"/>
      <c r="R45" s="274"/>
      <c r="S45" s="274"/>
      <c r="T45" s="274"/>
      <c r="U45" s="274"/>
      <c r="V45" s="269"/>
      <c r="W45" s="269"/>
      <c r="X45" s="269"/>
      <c r="Y45" s="269"/>
      <c r="Z45" s="269"/>
      <c r="AA45" s="269"/>
      <c r="AB45" s="269"/>
      <c r="AC45" s="269"/>
      <c r="AD45" s="269"/>
    </row>
    <row r="46" spans="1:30" s="110" customFormat="1" ht="37.5" customHeight="1" thickBot="1" x14ac:dyDescent="0.3">
      <c r="A46" s="264"/>
      <c r="B46" s="270"/>
      <c r="C46" s="373" t="s">
        <v>83</v>
      </c>
      <c r="D46" s="279" t="s">
        <v>84</v>
      </c>
      <c r="E46" s="280" t="s">
        <v>85</v>
      </c>
      <c r="F46" s="268"/>
      <c r="G46" s="268"/>
      <c r="H46" s="268"/>
      <c r="I46" s="274"/>
      <c r="J46" s="279" t="s">
        <v>84</v>
      </c>
      <c r="K46" s="280" t="s">
        <v>85</v>
      </c>
      <c r="L46" s="281"/>
      <c r="M46" s="281"/>
      <c r="N46" s="269"/>
      <c r="O46" s="269"/>
      <c r="P46" s="279" t="s">
        <v>84</v>
      </c>
      <c r="Q46" s="280" t="s">
        <v>85</v>
      </c>
      <c r="R46" s="269"/>
      <c r="S46" s="269"/>
      <c r="T46" s="269"/>
      <c r="U46" s="269"/>
      <c r="V46" s="279" t="s">
        <v>84</v>
      </c>
      <c r="W46" s="280" t="s">
        <v>85</v>
      </c>
      <c r="X46" s="269"/>
      <c r="Y46" s="269"/>
      <c r="Z46" s="269"/>
      <c r="AA46" s="269"/>
      <c r="AB46" s="269"/>
      <c r="AC46" s="269"/>
      <c r="AD46" s="269"/>
    </row>
    <row r="47" spans="1:30" ht="15.75" thickBot="1" x14ac:dyDescent="0.3">
      <c r="A47" s="199"/>
      <c r="B47" s="282"/>
      <c r="C47" s="375"/>
      <c r="D47" s="275">
        <v>0</v>
      </c>
      <c r="E47" s="283">
        <v>0</v>
      </c>
      <c r="F47" s="268"/>
      <c r="G47" s="268"/>
      <c r="H47" s="268"/>
      <c r="I47" s="274"/>
      <c r="J47" s="275">
        <v>0</v>
      </c>
      <c r="K47" s="283">
        <v>0</v>
      </c>
      <c r="L47" s="284"/>
      <c r="M47" s="284"/>
      <c r="N47" s="201"/>
      <c r="O47" s="201"/>
      <c r="P47" s="275">
        <v>0</v>
      </c>
      <c r="Q47" s="283">
        <v>0</v>
      </c>
      <c r="R47" s="201"/>
      <c r="S47" s="201"/>
      <c r="T47" s="201"/>
      <c r="U47" s="201"/>
      <c r="V47" s="275">
        <v>0</v>
      </c>
      <c r="W47" s="283">
        <v>0</v>
      </c>
      <c r="X47" s="201"/>
      <c r="Y47" s="201"/>
      <c r="Z47" s="201"/>
      <c r="AA47" s="201"/>
      <c r="AB47" s="201"/>
      <c r="AC47" s="201"/>
      <c r="AD47" s="201"/>
    </row>
    <row r="48" spans="1:30" x14ac:dyDescent="0.25">
      <c r="A48" s="199"/>
      <c r="B48" s="282"/>
      <c r="C48" s="266"/>
      <c r="D48" s="268"/>
      <c r="E48" s="268"/>
      <c r="F48" s="268"/>
      <c r="G48" s="268"/>
      <c r="H48" s="268"/>
      <c r="I48" s="274"/>
      <c r="J48" s="268"/>
      <c r="K48" s="268"/>
      <c r="L48" s="268"/>
      <c r="M48" s="268"/>
      <c r="N48" s="268"/>
      <c r="O48" s="274"/>
      <c r="P48" s="274"/>
      <c r="Q48" s="274"/>
      <c r="R48" s="274"/>
      <c r="S48" s="274"/>
      <c r="T48" s="274"/>
      <c r="U48" s="274"/>
      <c r="V48" s="201"/>
      <c r="W48" s="201"/>
      <c r="X48" s="201"/>
      <c r="Y48" s="201"/>
      <c r="Z48" s="201"/>
      <c r="AA48" s="201"/>
      <c r="AB48" s="201"/>
      <c r="AC48" s="201"/>
      <c r="AD48" s="201"/>
    </row>
    <row r="49" spans="1:30" x14ac:dyDescent="0.25">
      <c r="A49" s="199"/>
      <c r="B49" s="282"/>
      <c r="C49" s="285" t="s">
        <v>86</v>
      </c>
      <c r="D49" s="286" t="s">
        <v>87</v>
      </c>
      <c r="E49" s="286" t="s">
        <v>88</v>
      </c>
      <c r="F49" s="286" t="s">
        <v>89</v>
      </c>
      <c r="G49" s="286" t="s">
        <v>90</v>
      </c>
      <c r="H49" s="268"/>
      <c r="I49" s="201"/>
      <c r="J49" s="286" t="s">
        <v>87</v>
      </c>
      <c r="K49" s="286" t="s">
        <v>88</v>
      </c>
      <c r="L49" s="286" t="s">
        <v>89</v>
      </c>
      <c r="M49" s="286" t="s">
        <v>91</v>
      </c>
      <c r="N49" s="201"/>
      <c r="O49" s="201"/>
      <c r="P49" s="286" t="s">
        <v>87</v>
      </c>
      <c r="Q49" s="286" t="s">
        <v>88</v>
      </c>
      <c r="R49" s="286" t="s">
        <v>89</v>
      </c>
      <c r="S49" s="286" t="s">
        <v>91</v>
      </c>
      <c r="T49" s="201"/>
      <c r="U49" s="201"/>
      <c r="V49" s="286" t="s">
        <v>92</v>
      </c>
      <c r="W49" s="286" t="s">
        <v>88</v>
      </c>
      <c r="X49" s="286" t="s">
        <v>89</v>
      </c>
      <c r="Y49" s="286" t="s">
        <v>91</v>
      </c>
      <c r="Z49" s="201"/>
      <c r="AA49" s="201"/>
      <c r="AB49" s="201"/>
      <c r="AC49" s="201"/>
      <c r="AD49" s="201"/>
    </row>
    <row r="50" spans="1:30" x14ac:dyDescent="0.25">
      <c r="A50" s="199"/>
      <c r="B50" s="282"/>
      <c r="C50" s="287" t="s">
        <v>93</v>
      </c>
      <c r="D50" s="288">
        <f>SUM(D51:D54)</f>
        <v>633.74699999999996</v>
      </c>
      <c r="E50" s="288">
        <f>SUM(E51:E54)</f>
        <v>2217.4299999999998</v>
      </c>
      <c r="F50" s="288">
        <f>SUM(F51:F54)</f>
        <v>294.971</v>
      </c>
      <c r="G50" s="288">
        <f>SUM(G51:G54)</f>
        <v>2556.2060000000001</v>
      </c>
      <c r="H50" s="268"/>
      <c r="I50" s="201"/>
      <c r="J50" s="288">
        <f>J51+J52+J53+J54</f>
        <v>2556.2000000000003</v>
      </c>
      <c r="K50" s="288">
        <f>K51+K52+K53+K54</f>
        <v>459.5</v>
      </c>
      <c r="L50" s="288">
        <f>L51+L52+L53+L54</f>
        <v>1259.5</v>
      </c>
      <c r="M50" s="288">
        <f>M51+M52+M53+M54</f>
        <v>1756.1999999999998</v>
      </c>
      <c r="N50" s="201"/>
      <c r="O50" s="201"/>
      <c r="P50" s="288">
        <f>SUM(P51:P54)</f>
        <v>2556.2000000000003</v>
      </c>
      <c r="Q50" s="288">
        <f>SUM(Q51:Q54)</f>
        <v>164.256</v>
      </c>
      <c r="R50" s="288">
        <f>SUM(R51:R54)</f>
        <v>479.51499999999999</v>
      </c>
      <c r="S50" s="289">
        <f>P50+Q50-R50</f>
        <v>2240.9410000000003</v>
      </c>
      <c r="T50" s="201"/>
      <c r="U50" s="201"/>
      <c r="V50" s="288">
        <f>SUM(V51:V54)</f>
        <v>1756.2</v>
      </c>
      <c r="W50" s="288">
        <f>SUM(W51:W54)</f>
        <v>418.34899999999999</v>
      </c>
      <c r="X50" s="288">
        <f>SUM(X51:X54)</f>
        <v>1259.529</v>
      </c>
      <c r="Y50" s="288">
        <f>SUM(Y51:Y54)</f>
        <v>915.0200000000001</v>
      </c>
      <c r="Z50" s="201"/>
      <c r="AA50" s="201"/>
      <c r="AB50" s="201"/>
      <c r="AC50" s="201"/>
      <c r="AD50" s="201"/>
    </row>
    <row r="51" spans="1:30" x14ac:dyDescent="0.25">
      <c r="A51" s="199"/>
      <c r="B51" s="282"/>
      <c r="C51" s="287" t="s">
        <v>94</v>
      </c>
      <c r="D51" s="288">
        <f>52.76+379.41</f>
        <v>432.17</v>
      </c>
      <c r="E51" s="288">
        <f>13.123+104+1792.702</f>
        <v>1909.825</v>
      </c>
      <c r="F51" s="288"/>
      <c r="G51" s="289">
        <f>D51+E51-F51</f>
        <v>2341.9949999999999</v>
      </c>
      <c r="H51" s="268"/>
      <c r="I51" s="201"/>
      <c r="J51" s="288">
        <v>2342</v>
      </c>
      <c r="K51" s="288">
        <f>31.2+20</f>
        <v>51.2</v>
      </c>
      <c r="L51" s="288">
        <v>900</v>
      </c>
      <c r="M51" s="289">
        <f>J51+K51-L51</f>
        <v>1493.1999999999998</v>
      </c>
      <c r="N51" s="201"/>
      <c r="O51" s="201"/>
      <c r="P51" s="288">
        <v>2342</v>
      </c>
      <c r="Q51" s="288">
        <v>19</v>
      </c>
      <c r="R51" s="288">
        <v>440.01499999999999</v>
      </c>
      <c r="S51" s="289">
        <f>P51+Q51-R51</f>
        <v>1920.9850000000001</v>
      </c>
      <c r="T51" s="201"/>
      <c r="U51" s="201"/>
      <c r="V51" s="288">
        <v>1493.2</v>
      </c>
      <c r="W51" s="288">
        <v>20</v>
      </c>
      <c r="X51" s="288">
        <v>900</v>
      </c>
      <c r="Y51" s="289">
        <f>V51+W51-X51</f>
        <v>613.20000000000005</v>
      </c>
      <c r="Z51" s="201"/>
      <c r="AA51" s="201"/>
      <c r="AB51" s="201"/>
      <c r="AC51" s="201"/>
      <c r="AD51" s="201"/>
    </row>
    <row r="52" spans="1:30" x14ac:dyDescent="0.25">
      <c r="A52" s="199"/>
      <c r="B52" s="282"/>
      <c r="C52" s="287" t="s">
        <v>95</v>
      </c>
      <c r="D52" s="288">
        <v>23.4</v>
      </c>
      <c r="E52" s="288">
        <v>142.52099999999999</v>
      </c>
      <c r="F52" s="288">
        <v>135.501</v>
      </c>
      <c r="G52" s="289">
        <f>D52+E52-F52</f>
        <v>30.419999999999987</v>
      </c>
      <c r="H52" s="268"/>
      <c r="I52" s="201"/>
      <c r="J52" s="288">
        <v>30.4</v>
      </c>
      <c r="K52" s="288">
        <v>169.5</v>
      </c>
      <c r="L52" s="288">
        <v>162.5</v>
      </c>
      <c r="M52" s="289">
        <f>J52+K52-L52</f>
        <v>37.400000000000006</v>
      </c>
      <c r="N52" s="201"/>
      <c r="O52" s="201"/>
      <c r="P52" s="288">
        <v>30.4</v>
      </c>
      <c r="Q52" s="288">
        <v>83.126999999999995</v>
      </c>
      <c r="R52" s="288">
        <v>0</v>
      </c>
      <c r="S52" s="289">
        <f>P52+Q52-R52</f>
        <v>113.52699999999999</v>
      </c>
      <c r="T52" s="201"/>
      <c r="U52" s="201"/>
      <c r="V52" s="288">
        <v>37.4</v>
      </c>
      <c r="W52" s="288">
        <v>169.54900000000001</v>
      </c>
      <c r="X52" s="288">
        <v>162.529</v>
      </c>
      <c r="Y52" s="289">
        <f>V52+W52-X52</f>
        <v>44.420000000000016</v>
      </c>
      <c r="Z52" s="201"/>
      <c r="AA52" s="201"/>
      <c r="AB52" s="201"/>
      <c r="AC52" s="201"/>
      <c r="AD52" s="201"/>
    </row>
    <row r="53" spans="1:30" x14ac:dyDescent="0.25">
      <c r="A53" s="199"/>
      <c r="B53" s="282"/>
      <c r="C53" s="287" t="s">
        <v>96</v>
      </c>
      <c r="D53" s="288">
        <v>125</v>
      </c>
      <c r="E53" s="288">
        <v>40</v>
      </c>
      <c r="F53" s="288">
        <v>55</v>
      </c>
      <c r="G53" s="289">
        <f>D53+E53-F53</f>
        <v>110</v>
      </c>
      <c r="H53" s="268"/>
      <c r="I53" s="201"/>
      <c r="J53" s="288">
        <v>110</v>
      </c>
      <c r="K53" s="288">
        <v>110</v>
      </c>
      <c r="L53" s="288">
        <v>100</v>
      </c>
      <c r="M53" s="289">
        <f>J53+K53-L53</f>
        <v>120</v>
      </c>
      <c r="N53" s="201"/>
      <c r="O53" s="201"/>
      <c r="P53" s="288">
        <v>110</v>
      </c>
      <c r="Q53" s="288">
        <v>0</v>
      </c>
      <c r="R53" s="288">
        <v>0</v>
      </c>
      <c r="S53" s="289">
        <f>P53+Q53-R53</f>
        <v>110</v>
      </c>
      <c r="T53" s="201"/>
      <c r="U53" s="201"/>
      <c r="V53" s="288">
        <v>120</v>
      </c>
      <c r="W53" s="288">
        <v>110</v>
      </c>
      <c r="X53" s="288">
        <v>100</v>
      </c>
      <c r="Y53" s="289">
        <f>V53+W53-X53</f>
        <v>130</v>
      </c>
      <c r="Z53" s="201"/>
      <c r="AA53" s="201"/>
      <c r="AB53" s="201"/>
      <c r="AC53" s="201"/>
      <c r="AD53" s="201"/>
    </row>
    <row r="54" spans="1:30" x14ac:dyDescent="0.25">
      <c r="A54" s="199"/>
      <c r="B54" s="282"/>
      <c r="C54" s="290" t="s">
        <v>97</v>
      </c>
      <c r="D54" s="288">
        <v>53.177</v>
      </c>
      <c r="E54" s="288">
        <v>125.084</v>
      </c>
      <c r="F54" s="288">
        <f>54.87+49.6</f>
        <v>104.47</v>
      </c>
      <c r="G54" s="289">
        <f>D54+E54-F54</f>
        <v>73.790999999999997</v>
      </c>
      <c r="H54" s="268"/>
      <c r="I54" s="201"/>
      <c r="J54" s="288">
        <v>73.8</v>
      </c>
      <c r="K54" s="288">
        <v>128.80000000000001</v>
      </c>
      <c r="L54" s="288">
        <v>97</v>
      </c>
      <c r="M54" s="289">
        <f>J54+K54-L54</f>
        <v>105.60000000000002</v>
      </c>
      <c r="N54" s="201"/>
      <c r="O54" s="201"/>
      <c r="P54" s="288">
        <v>73.8</v>
      </c>
      <c r="Q54" s="288">
        <v>62.128999999999998</v>
      </c>
      <c r="R54" s="288">
        <v>39.5</v>
      </c>
      <c r="S54" s="289">
        <f>P54+Q54-R54</f>
        <v>96.429000000000002</v>
      </c>
      <c r="T54" s="201"/>
      <c r="U54" s="201"/>
      <c r="V54" s="288">
        <v>105.6</v>
      </c>
      <c r="W54" s="288">
        <v>118.8</v>
      </c>
      <c r="X54" s="288">
        <v>97</v>
      </c>
      <c r="Y54" s="289">
        <f>V54+W54-X54</f>
        <v>127.39999999999998</v>
      </c>
      <c r="Z54" s="201"/>
      <c r="AA54" s="201"/>
      <c r="AB54" s="201"/>
      <c r="AC54" s="201"/>
      <c r="AD54" s="201"/>
    </row>
    <row r="55" spans="1:30" ht="10.5" customHeight="1" x14ac:dyDescent="0.25">
      <c r="A55" s="199"/>
      <c r="B55" s="282"/>
      <c r="C55" s="266"/>
      <c r="D55" s="268"/>
      <c r="E55" s="268"/>
      <c r="F55" s="268"/>
      <c r="G55" s="268"/>
      <c r="H55" s="268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</row>
    <row r="56" spans="1:30" x14ac:dyDescent="0.25">
      <c r="A56" s="199"/>
      <c r="B56" s="282"/>
      <c r="C56" s="285" t="s">
        <v>98</v>
      </c>
      <c r="D56" s="286" t="s">
        <v>99</v>
      </c>
      <c r="E56" s="286" t="s">
        <v>100</v>
      </c>
      <c r="F56" s="268"/>
      <c r="G56" s="268"/>
      <c r="H56" s="268"/>
      <c r="I56" s="274"/>
      <c r="J56" s="286" t="s">
        <v>101</v>
      </c>
      <c r="K56" s="268"/>
      <c r="L56" s="268"/>
      <c r="M56" s="268"/>
      <c r="N56" s="268"/>
      <c r="O56" s="274"/>
      <c r="P56" s="286" t="s">
        <v>102</v>
      </c>
      <c r="Q56" s="274"/>
      <c r="R56" s="274"/>
      <c r="S56" s="274"/>
      <c r="T56" s="274"/>
      <c r="U56" s="274"/>
      <c r="V56" s="286" t="s">
        <v>101</v>
      </c>
      <c r="W56" s="201"/>
      <c r="X56" s="201"/>
      <c r="Y56" s="201"/>
      <c r="Z56" s="201"/>
      <c r="AA56" s="201"/>
      <c r="AB56" s="201"/>
      <c r="AC56" s="201"/>
      <c r="AD56" s="201"/>
    </row>
    <row r="57" spans="1:30" x14ac:dyDescent="0.25">
      <c r="A57" s="199"/>
      <c r="B57" s="282"/>
      <c r="C57" s="287"/>
      <c r="D57" s="291">
        <v>18.13</v>
      </c>
      <c r="E57" s="291">
        <v>16.63</v>
      </c>
      <c r="F57" s="268"/>
      <c r="G57" s="268"/>
      <c r="H57" s="268"/>
      <c r="I57" s="274"/>
      <c r="J57" s="291">
        <v>16.13</v>
      </c>
      <c r="K57" s="268"/>
      <c r="L57" s="268"/>
      <c r="M57" s="268"/>
      <c r="N57" s="268"/>
      <c r="O57" s="274"/>
      <c r="P57" s="291">
        <v>16.13</v>
      </c>
      <c r="Q57" s="274"/>
      <c r="R57" s="274"/>
      <c r="S57" s="274"/>
      <c r="T57" s="274"/>
      <c r="U57" s="274"/>
      <c r="V57" s="291">
        <v>16.13</v>
      </c>
      <c r="W57" s="201"/>
      <c r="X57" s="201"/>
      <c r="Y57" s="201"/>
      <c r="Z57" s="201"/>
      <c r="AA57" s="201"/>
      <c r="AB57" s="201"/>
      <c r="AC57" s="201"/>
      <c r="AD57" s="201"/>
    </row>
    <row r="58" spans="1:30" x14ac:dyDescent="0.25">
      <c r="A58" s="199"/>
      <c r="B58" s="282"/>
      <c r="C58" s="266"/>
      <c r="D58" s="268"/>
      <c r="E58" s="268"/>
      <c r="F58" s="268"/>
      <c r="G58" s="268"/>
      <c r="H58" s="268"/>
      <c r="I58" s="274"/>
      <c r="J58" s="268"/>
      <c r="K58" s="268"/>
      <c r="L58" s="268"/>
      <c r="M58" s="268"/>
      <c r="N58" s="268"/>
      <c r="O58" s="274"/>
      <c r="P58" s="274"/>
      <c r="Q58" s="274"/>
      <c r="R58" s="274"/>
      <c r="S58" s="274"/>
      <c r="T58" s="274"/>
      <c r="U58" s="274"/>
      <c r="V58" s="201"/>
      <c r="W58" s="201"/>
      <c r="X58" s="201"/>
      <c r="Y58" s="201"/>
      <c r="Z58" s="201"/>
      <c r="AA58" s="201"/>
      <c r="AB58" s="201"/>
      <c r="AC58" s="201"/>
      <c r="AD58" s="201"/>
    </row>
    <row r="59" spans="1:30" x14ac:dyDescent="0.25">
      <c r="A59" s="199"/>
      <c r="B59" s="292" t="s">
        <v>103</v>
      </c>
      <c r="C59" s="293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135"/>
      <c r="W59" s="135"/>
      <c r="X59" s="135"/>
      <c r="Y59" s="135"/>
      <c r="Z59" s="135"/>
      <c r="AA59" s="135"/>
      <c r="AB59" s="136"/>
      <c r="AC59" s="201"/>
      <c r="AD59" s="201"/>
    </row>
    <row r="60" spans="1:30" x14ac:dyDescent="0.25">
      <c r="A60" s="199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201"/>
      <c r="AD60" s="201"/>
    </row>
    <row r="61" spans="1:30" x14ac:dyDescent="0.25">
      <c r="A61" s="199"/>
      <c r="B61" s="368"/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110"/>
      <c r="W61" s="110"/>
      <c r="X61" s="110"/>
      <c r="Y61" s="110"/>
      <c r="Z61" s="110"/>
      <c r="AA61" s="110"/>
      <c r="AB61" s="138"/>
      <c r="AC61" s="201"/>
      <c r="AD61" s="201"/>
    </row>
    <row r="62" spans="1:30" x14ac:dyDescent="0.25">
      <c r="A62" s="199"/>
      <c r="B62" s="368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110"/>
      <c r="W62" s="110"/>
      <c r="X62" s="110"/>
      <c r="Y62" s="110"/>
      <c r="Z62" s="110"/>
      <c r="AA62" s="110"/>
      <c r="AB62" s="138"/>
      <c r="AC62" s="201"/>
      <c r="AD62" s="201"/>
    </row>
    <row r="63" spans="1:30" x14ac:dyDescent="0.25">
      <c r="A63" s="199"/>
      <c r="B63" s="368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110"/>
      <c r="W63" s="110"/>
      <c r="X63" s="110"/>
      <c r="Y63" s="110"/>
      <c r="Z63" s="110"/>
      <c r="AA63" s="110"/>
      <c r="AB63" s="138"/>
      <c r="AC63" s="201"/>
      <c r="AD63" s="201"/>
    </row>
    <row r="64" spans="1:30" x14ac:dyDescent="0.25">
      <c r="A64" s="199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110"/>
      <c r="W64" s="110"/>
      <c r="X64" s="110"/>
      <c r="Y64" s="110"/>
      <c r="Z64" s="110"/>
      <c r="AA64" s="110"/>
      <c r="AB64" s="138"/>
      <c r="AC64" s="201"/>
      <c r="AD64" s="201"/>
    </row>
    <row r="65" spans="1:30" x14ac:dyDescent="0.25">
      <c r="A65" s="199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110"/>
      <c r="W65" s="110"/>
      <c r="X65" s="110"/>
      <c r="Y65" s="110"/>
      <c r="Z65" s="110"/>
      <c r="AA65" s="110"/>
      <c r="AB65" s="138"/>
      <c r="AC65" s="201"/>
      <c r="AD65" s="201"/>
    </row>
    <row r="66" spans="1:30" x14ac:dyDescent="0.25">
      <c r="A66" s="199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110"/>
      <c r="W66" s="110"/>
      <c r="X66" s="110"/>
      <c r="Y66" s="110"/>
      <c r="Z66" s="110"/>
      <c r="AA66" s="110"/>
      <c r="AB66" s="138"/>
      <c r="AC66" s="201"/>
      <c r="AD66" s="201"/>
    </row>
    <row r="67" spans="1:30" x14ac:dyDescent="0.25">
      <c r="A67" s="199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110"/>
      <c r="W67" s="110"/>
      <c r="X67" s="110"/>
      <c r="Y67" s="110"/>
      <c r="Z67" s="110"/>
      <c r="AA67" s="110"/>
      <c r="AB67" s="138"/>
      <c r="AC67" s="201"/>
      <c r="AD67" s="201"/>
    </row>
    <row r="68" spans="1:30" x14ac:dyDescent="0.25">
      <c r="A68" s="199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110"/>
      <c r="W68" s="110"/>
      <c r="X68" s="110"/>
      <c r="Y68" s="110"/>
      <c r="Z68" s="110"/>
      <c r="AA68" s="110"/>
      <c r="AB68" s="138"/>
      <c r="AC68" s="201"/>
      <c r="AD68" s="201"/>
    </row>
    <row r="69" spans="1:30" x14ac:dyDescent="0.25">
      <c r="A69" s="199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110"/>
      <c r="W69" s="110"/>
      <c r="X69" s="110"/>
      <c r="Y69" s="110"/>
      <c r="Z69" s="110"/>
      <c r="AA69" s="110"/>
      <c r="AB69" s="138"/>
      <c r="AC69" s="201"/>
      <c r="AD69" s="201"/>
    </row>
    <row r="70" spans="1:30" x14ac:dyDescent="0.25">
      <c r="A70" s="199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110"/>
      <c r="W70" s="110"/>
      <c r="X70" s="110"/>
      <c r="Y70" s="110"/>
      <c r="Z70" s="110"/>
      <c r="AA70" s="110"/>
      <c r="AB70" s="138"/>
      <c r="AC70" s="201"/>
      <c r="AD70" s="201"/>
    </row>
    <row r="71" spans="1:30" x14ac:dyDescent="0.25">
      <c r="A71" s="199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110"/>
      <c r="W71" s="110"/>
      <c r="X71" s="110"/>
      <c r="Y71" s="110"/>
      <c r="Z71" s="110"/>
      <c r="AA71" s="110"/>
      <c r="AB71" s="138"/>
      <c r="AC71" s="201"/>
      <c r="AD71" s="201"/>
    </row>
    <row r="72" spans="1:30" x14ac:dyDescent="0.25">
      <c r="A72" s="199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110"/>
      <c r="W72" s="110"/>
      <c r="X72" s="110"/>
      <c r="Y72" s="110"/>
      <c r="Z72" s="110"/>
      <c r="AA72" s="110"/>
      <c r="AB72" s="138"/>
      <c r="AC72" s="201"/>
      <c r="AD72" s="201"/>
    </row>
    <row r="73" spans="1:30" x14ac:dyDescent="0.25">
      <c r="A73" s="199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110"/>
      <c r="W73" s="110"/>
      <c r="X73" s="110"/>
      <c r="Y73" s="110"/>
      <c r="Z73" s="110"/>
      <c r="AA73" s="110"/>
      <c r="AB73" s="138"/>
      <c r="AC73" s="201"/>
      <c r="AD73" s="201"/>
    </row>
    <row r="74" spans="1:30" x14ac:dyDescent="0.25">
      <c r="A74" s="199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110"/>
      <c r="W74" s="110"/>
      <c r="X74" s="110"/>
      <c r="Y74" s="110"/>
      <c r="Z74" s="110"/>
      <c r="AA74" s="110"/>
      <c r="AB74" s="138"/>
      <c r="AC74" s="201"/>
      <c r="AD74" s="201"/>
    </row>
    <row r="75" spans="1:30" x14ac:dyDescent="0.25">
      <c r="A75" s="199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110"/>
      <c r="W75" s="110"/>
      <c r="X75" s="110"/>
      <c r="Y75" s="110"/>
      <c r="Z75" s="110"/>
      <c r="AA75" s="110"/>
      <c r="AB75" s="138"/>
      <c r="AC75" s="201"/>
      <c r="AD75" s="201"/>
    </row>
    <row r="76" spans="1:30" x14ac:dyDescent="0.25">
      <c r="A76" s="199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110"/>
      <c r="W76" s="110"/>
      <c r="X76" s="110"/>
      <c r="Y76" s="110"/>
      <c r="Z76" s="110"/>
      <c r="AA76" s="110"/>
      <c r="AB76" s="138"/>
      <c r="AC76" s="201"/>
      <c r="AD76" s="201"/>
    </row>
    <row r="77" spans="1:30" x14ac:dyDescent="0.25">
      <c r="A77" s="199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110"/>
      <c r="W77" s="110"/>
      <c r="X77" s="110"/>
      <c r="Y77" s="110"/>
      <c r="Z77" s="110"/>
      <c r="AA77" s="110"/>
      <c r="AB77" s="138"/>
      <c r="AC77" s="201"/>
      <c r="AD77" s="201"/>
    </row>
    <row r="78" spans="1:30" x14ac:dyDescent="0.25">
      <c r="A78" s="199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110"/>
      <c r="W78" s="110"/>
      <c r="X78" s="110"/>
      <c r="Y78" s="110"/>
      <c r="Z78" s="110"/>
      <c r="AA78" s="110"/>
      <c r="AB78" s="138"/>
      <c r="AC78" s="201"/>
      <c r="AD78" s="201"/>
    </row>
    <row r="79" spans="1:30" x14ac:dyDescent="0.25">
      <c r="A79" s="199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110"/>
      <c r="W79" s="110"/>
      <c r="X79" s="110"/>
      <c r="Y79" s="110"/>
      <c r="Z79" s="110"/>
      <c r="AA79" s="110"/>
      <c r="AB79" s="138"/>
      <c r="AC79" s="201"/>
      <c r="AD79" s="201"/>
    </row>
    <row r="80" spans="1:30" x14ac:dyDescent="0.25">
      <c r="A80" s="199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110"/>
      <c r="W80" s="110"/>
      <c r="X80" s="110"/>
      <c r="Y80" s="110"/>
      <c r="Z80" s="110"/>
      <c r="AA80" s="110"/>
      <c r="AB80" s="138"/>
      <c r="AC80" s="201"/>
      <c r="AD80" s="201"/>
    </row>
    <row r="81" spans="1:30" x14ac:dyDescent="0.25">
      <c r="A81" s="199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110"/>
      <c r="W81" s="110"/>
      <c r="X81" s="110"/>
      <c r="Y81" s="110"/>
      <c r="Z81" s="110"/>
      <c r="AA81" s="110"/>
      <c r="AB81" s="138"/>
      <c r="AC81" s="201"/>
      <c r="AD81" s="201"/>
    </row>
    <row r="82" spans="1:30" x14ac:dyDescent="0.25">
      <c r="A82" s="199"/>
      <c r="B82" s="368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110"/>
      <c r="W82" s="110"/>
      <c r="X82" s="110"/>
      <c r="Y82" s="110"/>
      <c r="Z82" s="110"/>
      <c r="AA82" s="110"/>
      <c r="AB82" s="138"/>
      <c r="AC82" s="201"/>
      <c r="AD82" s="201"/>
    </row>
    <row r="83" spans="1:30" x14ac:dyDescent="0.25">
      <c r="A83" s="199"/>
      <c r="B83" s="296"/>
      <c r="C83" s="142"/>
      <c r="D83" s="142"/>
      <c r="E83" s="142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110"/>
      <c r="W83" s="110"/>
      <c r="X83" s="110"/>
      <c r="Y83" s="110"/>
      <c r="Z83" s="110"/>
      <c r="AA83" s="110"/>
      <c r="AB83" s="138"/>
      <c r="AC83" s="201"/>
      <c r="AD83" s="201"/>
    </row>
    <row r="84" spans="1:30" x14ac:dyDescent="0.25">
      <c r="A84" s="199"/>
      <c r="B84" s="297"/>
      <c r="C84" s="298"/>
      <c r="D84" s="299"/>
      <c r="E84" s="299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110"/>
      <c r="W84" s="110"/>
      <c r="X84" s="110"/>
      <c r="Y84" s="110"/>
      <c r="Z84" s="110"/>
      <c r="AA84" s="110"/>
      <c r="AB84" s="138"/>
      <c r="AC84" s="201"/>
      <c r="AD84" s="201"/>
    </row>
    <row r="85" spans="1:30" x14ac:dyDescent="0.25">
      <c r="A85" s="199"/>
      <c r="B85" s="296"/>
      <c r="C85" s="300"/>
      <c r="D85" s="299"/>
      <c r="E85" s="299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110"/>
      <c r="W85" s="110"/>
      <c r="X85" s="110"/>
      <c r="Y85" s="110"/>
      <c r="Z85" s="110"/>
      <c r="AA85" s="110"/>
      <c r="AB85" s="138"/>
      <c r="AC85" s="201"/>
      <c r="AD85" s="201"/>
    </row>
    <row r="86" spans="1:30" x14ac:dyDescent="0.25">
      <c r="A86" s="199"/>
      <c r="B86" s="296"/>
      <c r="C86" s="300"/>
      <c r="D86" s="299"/>
      <c r="E86" s="299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110"/>
      <c r="W86" s="110"/>
      <c r="X86" s="110"/>
      <c r="Y86" s="110"/>
      <c r="Z86" s="110"/>
      <c r="AA86" s="110"/>
      <c r="AB86" s="138"/>
      <c r="AC86" s="201"/>
      <c r="AD86" s="201"/>
    </row>
    <row r="87" spans="1:30" x14ac:dyDescent="0.25">
      <c r="A87" s="199"/>
      <c r="B87" s="301"/>
      <c r="C87" s="302"/>
      <c r="D87" s="303"/>
      <c r="E87" s="303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151"/>
      <c r="W87" s="151"/>
      <c r="X87" s="151"/>
      <c r="Y87" s="151"/>
      <c r="Z87" s="151"/>
      <c r="AA87" s="151"/>
      <c r="AB87" s="152"/>
      <c r="AC87" s="201"/>
      <c r="AD87" s="201"/>
    </row>
    <row r="88" spans="1:30" x14ac:dyDescent="0.25">
      <c r="A88" s="264"/>
      <c r="B88" s="305"/>
      <c r="C88" s="306"/>
      <c r="D88" s="305"/>
      <c r="E88" s="305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201"/>
      <c r="W88" s="201"/>
      <c r="X88" s="201"/>
      <c r="Y88" s="201"/>
      <c r="Z88" s="201"/>
      <c r="AA88" s="201"/>
      <c r="AB88" s="201"/>
      <c r="AC88" s="201"/>
      <c r="AD88" s="201"/>
    </row>
    <row r="89" spans="1:30" x14ac:dyDescent="0.25">
      <c r="A89" s="264"/>
      <c r="B89" s="305"/>
      <c r="C89" s="306"/>
      <c r="D89" s="305"/>
      <c r="E89" s="305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201"/>
      <c r="W89" s="201"/>
      <c r="X89" s="201"/>
      <c r="Y89" s="201"/>
      <c r="Z89" s="201"/>
      <c r="AA89" s="201"/>
      <c r="AB89" s="201"/>
      <c r="AC89" s="201"/>
      <c r="AD89" s="201"/>
    </row>
    <row r="90" spans="1:30" x14ac:dyDescent="0.25">
      <c r="A90" s="199"/>
      <c r="B90" s="308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201"/>
      <c r="W90" s="201"/>
      <c r="X90" s="201"/>
      <c r="Y90" s="201"/>
      <c r="Z90" s="201"/>
      <c r="AA90" s="201"/>
      <c r="AB90" s="201"/>
      <c r="AC90" s="201"/>
      <c r="AD90" s="201"/>
    </row>
    <row r="91" spans="1:30" x14ac:dyDescent="0.25">
      <c r="A91" s="199"/>
      <c r="B91" s="308" t="s">
        <v>104</v>
      </c>
      <c r="C91" s="309">
        <v>43706</v>
      </c>
      <c r="D91" s="308" t="s">
        <v>105</v>
      </c>
      <c r="E91" s="369" t="s">
        <v>206</v>
      </c>
      <c r="F91" s="369"/>
      <c r="G91" s="369"/>
      <c r="H91" s="308"/>
      <c r="I91" s="308" t="s">
        <v>107</v>
      </c>
      <c r="J91" s="370" t="s">
        <v>207</v>
      </c>
      <c r="K91" s="370"/>
      <c r="L91" s="370"/>
      <c r="M91" s="370"/>
      <c r="N91" s="308"/>
      <c r="O91" s="308"/>
      <c r="P91" s="308"/>
      <c r="Q91" s="308"/>
      <c r="R91" s="308"/>
      <c r="S91" s="308"/>
      <c r="T91" s="308"/>
      <c r="U91" s="308"/>
      <c r="V91" s="201"/>
      <c r="W91" s="201"/>
      <c r="X91" s="201"/>
      <c r="Y91" s="201"/>
      <c r="Z91" s="201"/>
      <c r="AA91" s="201"/>
      <c r="AB91" s="201"/>
      <c r="AC91" s="201"/>
      <c r="AD91" s="201"/>
    </row>
    <row r="92" spans="1:30" ht="7.5" customHeight="1" x14ac:dyDescent="0.25">
      <c r="A92" s="199"/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201"/>
      <c r="W92" s="201"/>
      <c r="X92" s="201"/>
      <c r="Y92" s="201"/>
      <c r="Z92" s="201"/>
      <c r="AA92" s="201"/>
      <c r="AB92" s="201"/>
      <c r="AC92" s="201"/>
      <c r="AD92" s="201"/>
    </row>
    <row r="93" spans="1:30" x14ac:dyDescent="0.25">
      <c r="A93" s="199"/>
      <c r="B93" s="308"/>
      <c r="C93" s="308"/>
      <c r="D93" s="308" t="s">
        <v>109</v>
      </c>
      <c r="E93" s="310"/>
      <c r="F93" s="310"/>
      <c r="G93" s="310"/>
      <c r="H93" s="308"/>
      <c r="I93" s="308" t="s">
        <v>109</v>
      </c>
      <c r="J93" s="311"/>
      <c r="K93" s="311"/>
      <c r="L93" s="311"/>
      <c r="M93" s="311"/>
      <c r="N93" s="308"/>
      <c r="O93" s="308"/>
      <c r="P93" s="308"/>
      <c r="Q93" s="308"/>
      <c r="R93" s="308"/>
      <c r="S93" s="308"/>
      <c r="T93" s="308"/>
      <c r="U93" s="308"/>
      <c r="V93" s="201"/>
      <c r="W93" s="201"/>
      <c r="X93" s="201"/>
      <c r="Y93" s="201"/>
      <c r="Z93" s="201"/>
      <c r="AA93" s="201"/>
      <c r="AB93" s="201"/>
      <c r="AC93" s="201"/>
      <c r="AD93" s="201"/>
    </row>
    <row r="94" spans="1:30" x14ac:dyDescent="0.25">
      <c r="A94" s="199"/>
      <c r="B94" s="308"/>
      <c r="C94" s="308"/>
      <c r="D94" s="308"/>
      <c r="E94" s="310"/>
      <c r="F94" s="310"/>
      <c r="G94" s="310"/>
      <c r="H94" s="308"/>
      <c r="I94" s="308"/>
      <c r="J94" s="311"/>
      <c r="K94" s="311"/>
      <c r="L94" s="311"/>
      <c r="M94" s="311"/>
      <c r="N94" s="308"/>
      <c r="O94" s="308"/>
      <c r="P94" s="308"/>
      <c r="Q94" s="308"/>
      <c r="R94" s="308"/>
      <c r="S94" s="308"/>
      <c r="T94" s="308"/>
      <c r="U94" s="308"/>
      <c r="V94" s="201"/>
      <c r="W94" s="201"/>
      <c r="X94" s="201"/>
      <c r="Y94" s="201"/>
      <c r="Z94" s="201"/>
      <c r="AA94" s="201"/>
      <c r="AB94" s="201"/>
      <c r="AC94" s="201"/>
      <c r="AD94" s="201"/>
    </row>
    <row r="95" spans="1:30" x14ac:dyDescent="0.25">
      <c r="A95" s="199"/>
      <c r="B95" s="308"/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201"/>
      <c r="W95" s="201"/>
      <c r="X95" s="201"/>
      <c r="Y95" s="201"/>
      <c r="Z95" s="201"/>
      <c r="AA95" s="201"/>
      <c r="AB95" s="201"/>
      <c r="AC95" s="201"/>
      <c r="AD95" s="201"/>
    </row>
    <row r="96" spans="1:30" x14ac:dyDescent="0.25">
      <c r="A96" s="199"/>
      <c r="B96" s="308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201"/>
      <c r="W96" s="201"/>
      <c r="X96" s="201"/>
      <c r="Y96" s="201"/>
      <c r="Z96" s="201"/>
      <c r="AA96" s="201"/>
      <c r="AB96" s="201"/>
      <c r="AC96" s="201"/>
      <c r="AD96" s="201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7" priority="3" operator="equal">
      <formula>0</formula>
    </cfRule>
    <cfRule type="containsErrors" dxfId="6" priority="4">
      <formula>ISERROR(AB15)</formula>
    </cfRule>
  </conditionalFormatting>
  <conditionalFormatting sqref="AB28:AB41">
    <cfRule type="cellIs" dxfId="5" priority="1" operator="equal">
      <formula>0</formula>
    </cfRule>
    <cfRule type="containsErrors" dxfId="4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selection activeCell="F93" sqref="F9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4.57031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115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46789685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114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113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1917.5</v>
      </c>
      <c r="G15" s="18">
        <f t="shared" ref="G15:G24" si="0">SUM(D15:F15)</f>
        <v>1917.5</v>
      </c>
      <c r="H15" s="19">
        <v>323.5</v>
      </c>
      <c r="I15" s="20">
        <f t="shared" ref="I15:I23" si="1">G15+H15</f>
        <v>2241</v>
      </c>
      <c r="J15" s="15"/>
      <c r="K15" s="16"/>
      <c r="L15" s="17">
        <v>2000</v>
      </c>
      <c r="M15" s="18">
        <f t="shared" ref="M15:M24" si="2">SUM(J15:L15)</f>
        <v>2000</v>
      </c>
      <c r="N15" s="19">
        <v>0</v>
      </c>
      <c r="O15" s="20">
        <f t="shared" ref="O15:O23" si="3">M15+N15</f>
        <v>2000</v>
      </c>
      <c r="P15" s="15"/>
      <c r="Q15" s="16"/>
      <c r="R15" s="17">
        <v>1220</v>
      </c>
      <c r="S15" s="18">
        <f t="shared" ref="S15:S24" si="4">SUM(P15:R15)</f>
        <v>1220</v>
      </c>
      <c r="T15" s="19">
        <v>59</v>
      </c>
      <c r="U15" s="20">
        <f t="shared" ref="U15:U23" si="5">S15+T15</f>
        <v>1279</v>
      </c>
      <c r="V15" s="15"/>
      <c r="W15" s="16"/>
      <c r="X15" s="17">
        <v>2000</v>
      </c>
      <c r="Y15" s="18">
        <f t="shared" ref="Y15:Y24" si="6">SUM(V15:X15)</f>
        <v>2000</v>
      </c>
      <c r="Z15" s="19">
        <v>0</v>
      </c>
      <c r="AA15" s="20">
        <f t="shared" ref="AA15:AA23" si="7">Y15+Z15</f>
        <v>2000</v>
      </c>
      <c r="AB15" s="21">
        <f t="shared" ref="AB15:AB24" si="8">(AA15/O15)</f>
        <v>1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4399</v>
      </c>
      <c r="E16" s="25"/>
      <c r="F16" s="25"/>
      <c r="G16" s="26">
        <f t="shared" si="0"/>
        <v>4399</v>
      </c>
      <c r="H16" s="27"/>
      <c r="I16" s="20">
        <f t="shared" si="1"/>
        <v>4399</v>
      </c>
      <c r="J16" s="24">
        <v>4450</v>
      </c>
      <c r="K16" s="25"/>
      <c r="L16" s="25"/>
      <c r="M16" s="26">
        <f t="shared" si="2"/>
        <v>4450</v>
      </c>
      <c r="N16" s="27"/>
      <c r="O16" s="20">
        <f t="shared" si="3"/>
        <v>4450</v>
      </c>
      <c r="P16" s="24">
        <v>2466.9</v>
      </c>
      <c r="Q16" s="25"/>
      <c r="R16" s="25"/>
      <c r="S16" s="26">
        <f t="shared" si="4"/>
        <v>2466.9</v>
      </c>
      <c r="T16" s="27"/>
      <c r="U16" s="20">
        <f t="shared" si="5"/>
        <v>2466.9</v>
      </c>
      <c r="V16" s="24">
        <v>4500</v>
      </c>
      <c r="W16" s="25"/>
      <c r="X16" s="25"/>
      <c r="Y16" s="26">
        <f t="shared" si="6"/>
        <v>4500</v>
      </c>
      <c r="Z16" s="27"/>
      <c r="AA16" s="20">
        <f t="shared" si="7"/>
        <v>4500</v>
      </c>
      <c r="AB16" s="21">
        <f t="shared" si="8"/>
        <v>1.0112359550561798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503</v>
      </c>
      <c r="E17" s="30"/>
      <c r="F17" s="30"/>
      <c r="G17" s="26">
        <f t="shared" si="0"/>
        <v>503</v>
      </c>
      <c r="H17" s="31"/>
      <c r="I17" s="20">
        <f t="shared" si="1"/>
        <v>503</v>
      </c>
      <c r="J17" s="29"/>
      <c r="K17" s="30"/>
      <c r="L17" s="30"/>
      <c r="M17" s="26">
        <f t="shared" si="2"/>
        <v>0</v>
      </c>
      <c r="N17" s="31"/>
      <c r="O17" s="20">
        <f t="shared" si="3"/>
        <v>0</v>
      </c>
      <c r="P17" s="29">
        <v>486.1</v>
      </c>
      <c r="Q17" s="30"/>
      <c r="R17" s="30"/>
      <c r="S17" s="26">
        <f t="shared" si="4"/>
        <v>486.1</v>
      </c>
      <c r="T17" s="31"/>
      <c r="U17" s="20">
        <f t="shared" si="5"/>
        <v>486.1</v>
      </c>
      <c r="V17" s="29"/>
      <c r="W17" s="30">
        <v>1200</v>
      </c>
      <c r="X17" s="30"/>
      <c r="Y17" s="26">
        <f t="shared" si="6"/>
        <v>1200</v>
      </c>
      <c r="Z17" s="31"/>
      <c r="AA17" s="20">
        <f t="shared" si="7"/>
        <v>1200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30274.6</v>
      </c>
      <c r="F18" s="30"/>
      <c r="G18" s="26">
        <f t="shared" si="0"/>
        <v>30274.6</v>
      </c>
      <c r="H18" s="19"/>
      <c r="I18" s="20">
        <f t="shared" si="1"/>
        <v>30274.6</v>
      </c>
      <c r="J18" s="33"/>
      <c r="K18" s="34">
        <v>34500</v>
      </c>
      <c r="L18" s="30"/>
      <c r="M18" s="26">
        <f t="shared" si="2"/>
        <v>34500</v>
      </c>
      <c r="N18" s="19"/>
      <c r="O18" s="20">
        <f t="shared" si="3"/>
        <v>34500</v>
      </c>
      <c r="P18" s="33"/>
      <c r="Q18" s="34">
        <v>18026</v>
      </c>
      <c r="R18" s="30"/>
      <c r="S18" s="26">
        <f t="shared" si="4"/>
        <v>18026</v>
      </c>
      <c r="T18" s="19"/>
      <c r="U18" s="20">
        <f t="shared" si="5"/>
        <v>18026</v>
      </c>
      <c r="V18" s="33"/>
      <c r="W18" s="34">
        <v>37500</v>
      </c>
      <c r="X18" s="30"/>
      <c r="Y18" s="26">
        <f t="shared" si="6"/>
        <v>37500</v>
      </c>
      <c r="Z18" s="19"/>
      <c r="AA18" s="20">
        <f t="shared" si="7"/>
        <v>37500</v>
      </c>
      <c r="AB18" s="21">
        <f t="shared" si="8"/>
        <v>1.0869565217391304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0"/>
        <v>0</v>
      </c>
      <c r="H19" s="38"/>
      <c r="I19" s="20">
        <f t="shared" si="1"/>
        <v>0</v>
      </c>
      <c r="J19" s="36"/>
      <c r="K19" s="30"/>
      <c r="L19" s="37"/>
      <c r="M19" s="26">
        <f t="shared" si="2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1588.7</v>
      </c>
      <c r="G20" s="26">
        <f t="shared" si="0"/>
        <v>1588.7</v>
      </c>
      <c r="H20" s="38"/>
      <c r="I20" s="20">
        <f t="shared" si="1"/>
        <v>1588.7</v>
      </c>
      <c r="J20" s="33"/>
      <c r="K20" s="25"/>
      <c r="L20" s="40">
        <v>150</v>
      </c>
      <c r="M20" s="26">
        <f t="shared" si="2"/>
        <v>150</v>
      </c>
      <c r="N20" s="38"/>
      <c r="O20" s="20">
        <f t="shared" si="3"/>
        <v>150</v>
      </c>
      <c r="P20" s="33"/>
      <c r="Q20" s="25"/>
      <c r="R20" s="40">
        <v>172</v>
      </c>
      <c r="S20" s="26">
        <f t="shared" si="4"/>
        <v>172</v>
      </c>
      <c r="T20" s="38"/>
      <c r="U20" s="20">
        <f t="shared" si="5"/>
        <v>172</v>
      </c>
      <c r="V20" s="33"/>
      <c r="W20" s="25"/>
      <c r="X20" s="40">
        <v>100</v>
      </c>
      <c r="Y20" s="26">
        <f t="shared" si="6"/>
        <v>100</v>
      </c>
      <c r="Z20" s="38"/>
      <c r="AA20" s="20">
        <f t="shared" si="7"/>
        <v>100</v>
      </c>
      <c r="AB20" s="21">
        <f t="shared" si="8"/>
        <v>0.66666666666666663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1540.1</v>
      </c>
      <c r="G21" s="26">
        <f t="shared" si="0"/>
        <v>1540.1</v>
      </c>
      <c r="H21" s="42"/>
      <c r="I21" s="20">
        <f t="shared" si="1"/>
        <v>1540.1</v>
      </c>
      <c r="J21" s="33"/>
      <c r="K21" s="25"/>
      <c r="L21" s="40">
        <v>1000</v>
      </c>
      <c r="M21" s="26">
        <f t="shared" si="2"/>
        <v>1000</v>
      </c>
      <c r="N21" s="42"/>
      <c r="O21" s="20">
        <f t="shared" si="3"/>
        <v>1000</v>
      </c>
      <c r="P21" s="33"/>
      <c r="Q21" s="25"/>
      <c r="R21" s="40">
        <v>1140.8</v>
      </c>
      <c r="S21" s="26">
        <f t="shared" si="4"/>
        <v>1140.8</v>
      </c>
      <c r="T21" s="42">
        <v>145</v>
      </c>
      <c r="U21" s="20">
        <f t="shared" si="5"/>
        <v>1285.8</v>
      </c>
      <c r="V21" s="33"/>
      <c r="W21" s="25"/>
      <c r="X21" s="40">
        <v>1450</v>
      </c>
      <c r="Y21" s="26">
        <f t="shared" si="6"/>
        <v>1450</v>
      </c>
      <c r="Z21" s="42"/>
      <c r="AA21" s="20">
        <f t="shared" si="7"/>
        <v>1450</v>
      </c>
      <c r="AB21" s="21">
        <f t="shared" si="8"/>
        <v>1.45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0"/>
        <v>0</v>
      </c>
      <c r="H22" s="42"/>
      <c r="I22" s="20">
        <f t="shared" si="1"/>
        <v>0</v>
      </c>
      <c r="J22" s="33"/>
      <c r="K22" s="25"/>
      <c r="L22" s="40"/>
      <c r="M22" s="26">
        <f t="shared" si="2"/>
        <v>0</v>
      </c>
      <c r="N22" s="42"/>
      <c r="O22" s="20">
        <f t="shared" si="3"/>
        <v>0</v>
      </c>
      <c r="P22" s="33"/>
      <c r="Q22" s="25"/>
      <c r="R22" s="40"/>
      <c r="S22" s="26">
        <f t="shared" si="4"/>
        <v>0</v>
      </c>
      <c r="T22" s="42"/>
      <c r="U22" s="20">
        <f t="shared" si="5"/>
        <v>0</v>
      </c>
      <c r="V22" s="33"/>
      <c r="W22" s="25"/>
      <c r="X22" s="40"/>
      <c r="Y22" s="26">
        <f t="shared" si="6"/>
        <v>0</v>
      </c>
      <c r="Z22" s="42"/>
      <c r="AA22" s="20">
        <f t="shared" si="7"/>
        <v>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0"/>
        <v>0</v>
      </c>
      <c r="H23" s="49"/>
      <c r="I23" s="50">
        <f t="shared" si="1"/>
        <v>0</v>
      </c>
      <c r="J23" s="45"/>
      <c r="K23" s="46"/>
      <c r="L23" s="47"/>
      <c r="M23" s="48">
        <f t="shared" si="2"/>
        <v>0</v>
      </c>
      <c r="N23" s="49"/>
      <c r="O23" s="50">
        <f t="shared" si="3"/>
        <v>0</v>
      </c>
      <c r="P23" s="45"/>
      <c r="Q23" s="46"/>
      <c r="R23" s="47"/>
      <c r="S23" s="48">
        <f t="shared" si="4"/>
        <v>0</v>
      </c>
      <c r="T23" s="49"/>
      <c r="U23" s="50">
        <f t="shared" si="5"/>
        <v>0</v>
      </c>
      <c r="V23" s="45"/>
      <c r="W23" s="46"/>
      <c r="X23" s="47"/>
      <c r="Y23" s="48">
        <f t="shared" si="6"/>
        <v>0</v>
      </c>
      <c r="Z23" s="49"/>
      <c r="AA23" s="50">
        <f t="shared" si="7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4902</v>
      </c>
      <c r="E24" s="55">
        <f>SUM(E15:E21)</f>
        <v>30274.6</v>
      </c>
      <c r="F24" s="55">
        <f>SUM(F15:F21)</f>
        <v>5046.2999999999993</v>
      </c>
      <c r="G24" s="56">
        <f t="shared" si="0"/>
        <v>40222.899999999994</v>
      </c>
      <c r="H24" s="57">
        <f>SUM(H15:H21)</f>
        <v>323.5</v>
      </c>
      <c r="I24" s="57">
        <f>SUM(I15:I21)</f>
        <v>40546.399999999994</v>
      </c>
      <c r="J24" s="54">
        <f>SUM(J15:J21)</f>
        <v>4450</v>
      </c>
      <c r="K24" s="55">
        <f>SUM(K15:K21)</f>
        <v>34500</v>
      </c>
      <c r="L24" s="55">
        <f>SUM(L15:L21)</f>
        <v>3150</v>
      </c>
      <c r="M24" s="56">
        <f t="shared" si="2"/>
        <v>42100</v>
      </c>
      <c r="N24" s="57">
        <f>SUM(N15:N21)</f>
        <v>0</v>
      </c>
      <c r="O24" s="57">
        <f>SUM(O15:O21)</f>
        <v>42100</v>
      </c>
      <c r="P24" s="54">
        <f>SUM(P15:P21)</f>
        <v>2953</v>
      </c>
      <c r="Q24" s="55">
        <f>SUM(Q15:Q21)</f>
        <v>18026</v>
      </c>
      <c r="R24" s="55">
        <f>SUM(R15:R21)</f>
        <v>2532.8000000000002</v>
      </c>
      <c r="S24" s="56">
        <f t="shared" si="4"/>
        <v>23511.8</v>
      </c>
      <c r="T24" s="57">
        <f>SUM(T15:T21)</f>
        <v>204</v>
      </c>
      <c r="U24" s="57">
        <f>SUM(U15:U21)</f>
        <v>23715.8</v>
      </c>
      <c r="V24" s="54">
        <f>SUM(V15:V21)</f>
        <v>4500</v>
      </c>
      <c r="W24" s="55">
        <f>SUM(W15:W21)</f>
        <v>38700</v>
      </c>
      <c r="X24" s="55">
        <f>SUM(X15:X21)</f>
        <v>3550</v>
      </c>
      <c r="Y24" s="56">
        <f t="shared" si="6"/>
        <v>46750</v>
      </c>
      <c r="Z24" s="57">
        <f>SUM(Z15:Z21)</f>
        <v>0</v>
      </c>
      <c r="AA24" s="57">
        <f>SUM(AA15:AA21)</f>
        <v>46750</v>
      </c>
      <c r="AB24" s="58">
        <f t="shared" si="8"/>
        <v>1.1104513064133017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ht="15.75" thickBot="1" x14ac:dyDescent="0.3">
      <c r="A28" s="1"/>
      <c r="B28" s="13" t="s">
        <v>50</v>
      </c>
      <c r="C28" s="64" t="s">
        <v>51</v>
      </c>
      <c r="D28" s="65">
        <v>504.9</v>
      </c>
      <c r="E28" s="65"/>
      <c r="F28" s="65"/>
      <c r="G28" s="66">
        <f t="shared" ref="G28:G39" si="9">SUM(D28:F28)</f>
        <v>504.9</v>
      </c>
      <c r="H28" s="66"/>
      <c r="I28" s="67">
        <f t="shared" ref="I28:I38" si="10">G28+H28</f>
        <v>504.9</v>
      </c>
      <c r="J28" s="68">
        <v>330</v>
      </c>
      <c r="K28" s="65"/>
      <c r="L28" s="65"/>
      <c r="M28" s="66">
        <f t="shared" ref="M28:M39" si="11">SUM(J28:L28)</f>
        <v>330</v>
      </c>
      <c r="N28" s="66"/>
      <c r="O28" s="67">
        <f t="shared" ref="O28:O38" si="12">M28+N28</f>
        <v>330</v>
      </c>
      <c r="P28" s="68">
        <v>26</v>
      </c>
      <c r="Q28" s="65"/>
      <c r="R28" s="65"/>
      <c r="S28" s="66">
        <f t="shared" ref="S28:S39" si="13">SUM(P28:R28)</f>
        <v>26</v>
      </c>
      <c r="T28" s="66">
        <v>27</v>
      </c>
      <c r="U28" s="67">
        <f t="shared" ref="U28:U38" si="14">S28+T28</f>
        <v>53</v>
      </c>
      <c r="V28" s="68">
        <v>390</v>
      </c>
      <c r="W28" s="65"/>
      <c r="X28" s="65"/>
      <c r="Y28" s="66">
        <f t="shared" ref="Y28:Y39" si="15">SUM(V28:X28)</f>
        <v>390</v>
      </c>
      <c r="Z28" s="66"/>
      <c r="AA28" s="67">
        <f t="shared" ref="AA28:AA38" si="16">Y28+Z28</f>
        <v>390</v>
      </c>
      <c r="AB28" s="21">
        <f t="shared" ref="AB28:AB41" si="17">(AA28/O28)</f>
        <v>1.1818181818181819</v>
      </c>
      <c r="AC28" s="3"/>
      <c r="AD28" s="3"/>
    </row>
    <row r="29" spans="1:30" ht="15.75" thickBot="1" x14ac:dyDescent="0.3">
      <c r="A29" s="1"/>
      <c r="B29" s="22" t="s">
        <v>52</v>
      </c>
      <c r="C29" s="69" t="s">
        <v>53</v>
      </c>
      <c r="D29" s="70">
        <v>298.89999999999998</v>
      </c>
      <c r="E29" s="70">
        <v>50</v>
      </c>
      <c r="F29" s="70">
        <v>2505</v>
      </c>
      <c r="G29" s="71">
        <f t="shared" si="9"/>
        <v>2853.9</v>
      </c>
      <c r="H29" s="72">
        <v>44</v>
      </c>
      <c r="I29" s="67">
        <f t="shared" si="10"/>
        <v>2897.9</v>
      </c>
      <c r="J29" s="73">
        <v>1311</v>
      </c>
      <c r="K29" s="70"/>
      <c r="L29" s="70">
        <v>1700</v>
      </c>
      <c r="M29" s="71">
        <f t="shared" si="11"/>
        <v>3011</v>
      </c>
      <c r="N29" s="72"/>
      <c r="O29" s="20">
        <f t="shared" si="12"/>
        <v>3011</v>
      </c>
      <c r="P29" s="73">
        <v>307</v>
      </c>
      <c r="Q29" s="70"/>
      <c r="R29" s="70">
        <v>1000</v>
      </c>
      <c r="S29" s="71">
        <f t="shared" si="13"/>
        <v>1307</v>
      </c>
      <c r="T29" s="72"/>
      <c r="U29" s="20">
        <f t="shared" si="14"/>
        <v>1307</v>
      </c>
      <c r="V29" s="73">
        <v>1240</v>
      </c>
      <c r="W29" s="70"/>
      <c r="X29" s="70">
        <v>1750</v>
      </c>
      <c r="Y29" s="71">
        <f t="shared" si="15"/>
        <v>2990</v>
      </c>
      <c r="Z29" s="72"/>
      <c r="AA29" s="20">
        <f t="shared" si="16"/>
        <v>2990</v>
      </c>
      <c r="AB29" s="21">
        <f t="shared" si="17"/>
        <v>0.99302557289936899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1726.4</v>
      </c>
      <c r="E30" s="74"/>
      <c r="F30" s="74" t="s">
        <v>56</v>
      </c>
      <c r="G30" s="71">
        <f t="shared" si="9"/>
        <v>1726.4</v>
      </c>
      <c r="H30" s="71">
        <v>101.9</v>
      </c>
      <c r="I30" s="67">
        <f t="shared" si="10"/>
        <v>1828.3000000000002</v>
      </c>
      <c r="J30" s="75">
        <v>1700</v>
      </c>
      <c r="K30" s="74"/>
      <c r="L30" s="74">
        <v>250</v>
      </c>
      <c r="M30" s="71">
        <f t="shared" si="11"/>
        <v>1950</v>
      </c>
      <c r="N30" s="71"/>
      <c r="O30" s="20">
        <f t="shared" si="12"/>
        <v>1950</v>
      </c>
      <c r="P30" s="75">
        <v>1383</v>
      </c>
      <c r="Q30" s="74"/>
      <c r="R30" s="74"/>
      <c r="S30" s="71">
        <f t="shared" si="13"/>
        <v>1383</v>
      </c>
      <c r="T30" s="71"/>
      <c r="U30" s="20">
        <f t="shared" si="14"/>
        <v>1383</v>
      </c>
      <c r="V30" s="75">
        <v>1800</v>
      </c>
      <c r="W30" s="74"/>
      <c r="X30" s="74">
        <v>220</v>
      </c>
      <c r="Y30" s="71">
        <f t="shared" si="15"/>
        <v>2020</v>
      </c>
      <c r="Z30" s="71"/>
      <c r="AA30" s="20">
        <f t="shared" si="16"/>
        <v>2020</v>
      </c>
      <c r="AB30" s="21">
        <f t="shared" si="17"/>
        <v>1.035897435897436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568.1</v>
      </c>
      <c r="E31" s="74"/>
      <c r="F31" s="74">
        <v>1409.5</v>
      </c>
      <c r="G31" s="71">
        <f t="shared" si="9"/>
        <v>1977.6</v>
      </c>
      <c r="H31" s="71"/>
      <c r="I31" s="20">
        <f t="shared" si="10"/>
        <v>1977.6</v>
      </c>
      <c r="J31" s="75">
        <v>400</v>
      </c>
      <c r="K31" s="74"/>
      <c r="L31" s="74">
        <v>1100</v>
      </c>
      <c r="M31" s="71">
        <f t="shared" si="11"/>
        <v>1500</v>
      </c>
      <c r="N31" s="71"/>
      <c r="O31" s="20">
        <f t="shared" si="12"/>
        <v>1500</v>
      </c>
      <c r="P31" s="75">
        <v>390</v>
      </c>
      <c r="Q31" s="74"/>
      <c r="R31" s="74">
        <v>861</v>
      </c>
      <c r="S31" s="71">
        <f t="shared" si="13"/>
        <v>1251</v>
      </c>
      <c r="T31" s="71"/>
      <c r="U31" s="20">
        <f t="shared" si="14"/>
        <v>1251</v>
      </c>
      <c r="V31" s="75">
        <v>400</v>
      </c>
      <c r="W31" s="74"/>
      <c r="X31" s="74">
        <v>1360</v>
      </c>
      <c r="Y31" s="71">
        <f t="shared" si="15"/>
        <v>1760</v>
      </c>
      <c r="Z31" s="71"/>
      <c r="AA31" s="20">
        <f t="shared" si="16"/>
        <v>1760</v>
      </c>
      <c r="AB31" s="21">
        <f t="shared" si="17"/>
        <v>1.1733333333333333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/>
      <c r="E32" s="74">
        <v>23613.3</v>
      </c>
      <c r="F32" s="74"/>
      <c r="G32" s="71">
        <f t="shared" si="9"/>
        <v>23613.3</v>
      </c>
      <c r="H32" s="71"/>
      <c r="I32" s="20">
        <f t="shared" si="10"/>
        <v>23613.3</v>
      </c>
      <c r="J32" s="77">
        <v>30</v>
      </c>
      <c r="K32" s="74">
        <v>25554</v>
      </c>
      <c r="L32" s="74"/>
      <c r="M32" s="71">
        <f t="shared" si="11"/>
        <v>25584</v>
      </c>
      <c r="N32" s="71"/>
      <c r="O32" s="20">
        <f t="shared" si="12"/>
        <v>25584</v>
      </c>
      <c r="P32" s="77"/>
      <c r="Q32" s="74">
        <v>13145</v>
      </c>
      <c r="R32" s="74"/>
      <c r="S32" s="71">
        <f t="shared" si="13"/>
        <v>13145</v>
      </c>
      <c r="T32" s="71"/>
      <c r="U32" s="20">
        <f t="shared" si="14"/>
        <v>13145</v>
      </c>
      <c r="V32" s="77"/>
      <c r="W32" s="74">
        <v>26900</v>
      </c>
      <c r="X32" s="74"/>
      <c r="Y32" s="71">
        <f t="shared" si="15"/>
        <v>26900</v>
      </c>
      <c r="Z32" s="71"/>
      <c r="AA32" s="20">
        <f t="shared" si="16"/>
        <v>26900</v>
      </c>
      <c r="AB32" s="21">
        <f t="shared" si="17"/>
        <v>1.0514383989993745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 t="s">
        <v>56</v>
      </c>
      <c r="E33" s="74">
        <v>22951.1</v>
      </c>
      <c r="F33" s="74"/>
      <c r="G33" s="71">
        <f t="shared" si="9"/>
        <v>22951.1</v>
      </c>
      <c r="H33" s="71"/>
      <c r="I33" s="20">
        <f t="shared" si="10"/>
        <v>22951.1</v>
      </c>
      <c r="J33" s="77"/>
      <c r="K33" s="74">
        <v>25400</v>
      </c>
      <c r="L33" s="74"/>
      <c r="M33" s="71">
        <f t="shared" si="11"/>
        <v>25400</v>
      </c>
      <c r="N33" s="71"/>
      <c r="O33" s="20">
        <f t="shared" si="12"/>
        <v>25400</v>
      </c>
      <c r="P33" s="77">
        <v>13.7</v>
      </c>
      <c r="Q33" s="74">
        <v>12944</v>
      </c>
      <c r="R33" s="74"/>
      <c r="S33" s="71">
        <f t="shared" si="13"/>
        <v>12957.7</v>
      </c>
      <c r="T33" s="71"/>
      <c r="U33" s="20">
        <f t="shared" si="14"/>
        <v>12957.7</v>
      </c>
      <c r="V33" s="77"/>
      <c r="W33" s="74"/>
      <c r="X33" s="74"/>
      <c r="Y33" s="71">
        <f t="shared" si="15"/>
        <v>0</v>
      </c>
      <c r="Z33" s="71"/>
      <c r="AA33" s="20">
        <f t="shared" si="16"/>
        <v>0</v>
      </c>
      <c r="AB33" s="21">
        <f t="shared" si="17"/>
        <v>0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 t="s">
        <v>56</v>
      </c>
      <c r="E34" s="74">
        <v>662.2</v>
      </c>
      <c r="F34" s="74"/>
      <c r="G34" s="71">
        <f t="shared" si="9"/>
        <v>662.2</v>
      </c>
      <c r="H34" s="71"/>
      <c r="I34" s="20">
        <f t="shared" si="10"/>
        <v>662.2</v>
      </c>
      <c r="J34" s="77"/>
      <c r="K34" s="74">
        <v>154</v>
      </c>
      <c r="L34" s="74"/>
      <c r="M34" s="71">
        <f t="shared" si="11"/>
        <v>154</v>
      </c>
      <c r="N34" s="71"/>
      <c r="O34" s="20">
        <f t="shared" si="12"/>
        <v>154</v>
      </c>
      <c r="P34" s="77" t="s">
        <v>56</v>
      </c>
      <c r="Q34" s="74">
        <v>201</v>
      </c>
      <c r="R34" s="74"/>
      <c r="S34" s="71">
        <f t="shared" si="13"/>
        <v>201</v>
      </c>
      <c r="T34" s="71"/>
      <c r="U34" s="20">
        <f t="shared" si="14"/>
        <v>201</v>
      </c>
      <c r="V34" s="77" t="s">
        <v>56</v>
      </c>
      <c r="W34" s="74"/>
      <c r="X34" s="74"/>
      <c r="Y34" s="71">
        <f t="shared" si="15"/>
        <v>0</v>
      </c>
      <c r="Z34" s="71"/>
      <c r="AA34" s="20">
        <f t="shared" si="16"/>
        <v>0</v>
      </c>
      <c r="AB34" s="21">
        <f t="shared" si="17"/>
        <v>0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 t="s">
        <v>56</v>
      </c>
      <c r="E35" s="74">
        <v>7789</v>
      </c>
      <c r="F35" s="74"/>
      <c r="G35" s="71">
        <f t="shared" si="9"/>
        <v>7789</v>
      </c>
      <c r="H35" s="71"/>
      <c r="I35" s="20">
        <f t="shared" si="10"/>
        <v>7789</v>
      </c>
      <c r="J35" s="77"/>
      <c r="K35" s="74">
        <v>8946</v>
      </c>
      <c r="L35" s="74"/>
      <c r="M35" s="71">
        <f t="shared" si="11"/>
        <v>8946</v>
      </c>
      <c r="N35" s="71"/>
      <c r="O35" s="20">
        <f t="shared" si="12"/>
        <v>8946</v>
      </c>
      <c r="P35" s="77">
        <v>13.7</v>
      </c>
      <c r="Q35" s="74">
        <v>4707</v>
      </c>
      <c r="R35" s="74"/>
      <c r="S35" s="71">
        <f t="shared" si="13"/>
        <v>4720.7</v>
      </c>
      <c r="T35" s="71"/>
      <c r="U35" s="20">
        <f t="shared" si="14"/>
        <v>4720.7</v>
      </c>
      <c r="V35" s="77"/>
      <c r="W35" s="74">
        <v>10600</v>
      </c>
      <c r="X35" s="74"/>
      <c r="Y35" s="71">
        <f t="shared" si="15"/>
        <v>10600</v>
      </c>
      <c r="Z35" s="71"/>
      <c r="AA35" s="20">
        <f t="shared" si="16"/>
        <v>10600</v>
      </c>
      <c r="AB35" s="21">
        <f t="shared" si="17"/>
        <v>1.1848871003800581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/>
      <c r="G36" s="71">
        <f t="shared" si="9"/>
        <v>0</v>
      </c>
      <c r="H36" s="71"/>
      <c r="I36" s="20">
        <f t="shared" si="10"/>
        <v>0</v>
      </c>
      <c r="J36" s="75"/>
      <c r="K36" s="74"/>
      <c r="L36" s="74"/>
      <c r="M36" s="71">
        <f t="shared" si="11"/>
        <v>0</v>
      </c>
      <c r="N36" s="71"/>
      <c r="O36" s="20">
        <f t="shared" si="12"/>
        <v>0</v>
      </c>
      <c r="P36" s="75"/>
      <c r="Q36" s="74"/>
      <c r="R36" s="74"/>
      <c r="S36" s="71">
        <f t="shared" si="13"/>
        <v>0</v>
      </c>
      <c r="T36" s="71"/>
      <c r="U36" s="20">
        <f t="shared" si="14"/>
        <v>0</v>
      </c>
      <c r="V36" s="75"/>
      <c r="W36" s="74"/>
      <c r="X36" s="74"/>
      <c r="Y36" s="71">
        <f t="shared" si="15"/>
        <v>0</v>
      </c>
      <c r="Z36" s="71"/>
      <c r="AA36" s="20">
        <f t="shared" si="16"/>
        <v>0</v>
      </c>
      <c r="AB36" s="21" t="e">
        <f t="shared" si="17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590</v>
      </c>
      <c r="E37" s="74"/>
      <c r="F37" s="74"/>
      <c r="G37" s="71">
        <f t="shared" si="9"/>
        <v>590</v>
      </c>
      <c r="H37" s="71"/>
      <c r="I37" s="20">
        <f t="shared" si="10"/>
        <v>590</v>
      </c>
      <c r="J37" s="75">
        <v>584</v>
      </c>
      <c r="K37" s="74"/>
      <c r="L37" s="74"/>
      <c r="M37" s="71">
        <f t="shared" si="11"/>
        <v>584</v>
      </c>
      <c r="N37" s="71"/>
      <c r="O37" s="20">
        <f t="shared" si="12"/>
        <v>584</v>
      </c>
      <c r="P37" s="75">
        <v>291</v>
      </c>
      <c r="Q37" s="74"/>
      <c r="R37" s="74"/>
      <c r="S37" s="71">
        <f t="shared" si="13"/>
        <v>291</v>
      </c>
      <c r="T37" s="71"/>
      <c r="U37" s="20">
        <f t="shared" si="14"/>
        <v>291</v>
      </c>
      <c r="V37" s="75">
        <v>598</v>
      </c>
      <c r="W37" s="74"/>
      <c r="X37" s="74"/>
      <c r="Y37" s="71">
        <f t="shared" si="15"/>
        <v>598</v>
      </c>
      <c r="Z37" s="71"/>
      <c r="AA37" s="20">
        <f t="shared" si="16"/>
        <v>598</v>
      </c>
      <c r="AB37" s="21">
        <f t="shared" si="17"/>
        <v>1.023972602739726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1213.7</v>
      </c>
      <c r="E38" s="81"/>
      <c r="F38" s="81"/>
      <c r="G38" s="71">
        <f t="shared" si="9"/>
        <v>1213.7</v>
      </c>
      <c r="H38" s="82"/>
      <c r="I38" s="50">
        <f t="shared" si="10"/>
        <v>1213.7</v>
      </c>
      <c r="J38" s="83">
        <v>95</v>
      </c>
      <c r="K38" s="81"/>
      <c r="L38" s="81">
        <v>100</v>
      </c>
      <c r="M38" s="82">
        <f t="shared" si="11"/>
        <v>195</v>
      </c>
      <c r="N38" s="82"/>
      <c r="O38" s="50">
        <f t="shared" si="12"/>
        <v>195</v>
      </c>
      <c r="P38" s="83">
        <v>111.9</v>
      </c>
      <c r="Q38" s="81"/>
      <c r="R38" s="81"/>
      <c r="S38" s="82">
        <f t="shared" si="13"/>
        <v>111.9</v>
      </c>
      <c r="T38" s="82"/>
      <c r="U38" s="50">
        <f t="shared" si="14"/>
        <v>111.9</v>
      </c>
      <c r="V38" s="83">
        <v>72</v>
      </c>
      <c r="W38" s="81">
        <v>1200</v>
      </c>
      <c r="X38" s="81">
        <v>220</v>
      </c>
      <c r="Y38" s="82">
        <f t="shared" si="15"/>
        <v>1492</v>
      </c>
      <c r="Z38" s="82"/>
      <c r="AA38" s="50">
        <f t="shared" si="16"/>
        <v>1492</v>
      </c>
      <c r="AB38" s="51">
        <f t="shared" si="17"/>
        <v>7.6512820512820516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4902</v>
      </c>
      <c r="E39" s="85">
        <f>SUM(E35:E38)+SUM(E28:E32)</f>
        <v>31452.3</v>
      </c>
      <c r="F39" s="85">
        <f>SUM(F35:F38)+SUM(F28:F32)</f>
        <v>3914.5</v>
      </c>
      <c r="G39" s="86">
        <f t="shared" si="9"/>
        <v>40268.800000000003</v>
      </c>
      <c r="H39" s="87">
        <f>SUM(H28:H32)+SUM(H35:H38)</f>
        <v>145.9</v>
      </c>
      <c r="I39" s="88">
        <f>SUM(I35:I38)+SUM(I28:I32)</f>
        <v>40414.699999999997</v>
      </c>
      <c r="J39" s="85">
        <f>SUM(J35:J38)+SUM(J28:J32)</f>
        <v>4450</v>
      </c>
      <c r="K39" s="85">
        <f>SUM(K35:K38)+SUM(K28:K32)</f>
        <v>34500</v>
      </c>
      <c r="L39" s="85">
        <f>SUM(L35:L38)+SUM(L28:L32)</f>
        <v>3150</v>
      </c>
      <c r="M39" s="86">
        <f t="shared" si="11"/>
        <v>42100</v>
      </c>
      <c r="N39" s="87">
        <f>SUM(N28:N32)+SUM(N35:N38)</f>
        <v>0</v>
      </c>
      <c r="O39" s="88">
        <f>SUM(O35:O38)+SUM(O28:O32)</f>
        <v>42100</v>
      </c>
      <c r="P39" s="85">
        <f>SUM(P35:P38)+SUM(P28:P32)</f>
        <v>2522.6</v>
      </c>
      <c r="Q39" s="85">
        <f>SUM(Q35:Q38)+SUM(Q28:Q32)</f>
        <v>17852</v>
      </c>
      <c r="R39" s="85">
        <f>SUM(R35:R38)+SUM(R28:R32)</f>
        <v>1861</v>
      </c>
      <c r="S39" s="86">
        <f t="shared" si="13"/>
        <v>22235.599999999999</v>
      </c>
      <c r="T39" s="87">
        <f>SUM(T28:T32)+SUM(T35:T38)</f>
        <v>27</v>
      </c>
      <c r="U39" s="88">
        <f>SUM(U35:U38)+SUM(U28:U32)</f>
        <v>22262.6</v>
      </c>
      <c r="V39" s="85">
        <f>SUM(V35:V38)+SUM(V28:V32)</f>
        <v>4500</v>
      </c>
      <c r="W39" s="85">
        <f>SUM(W35:W38)+SUM(W28:W32)</f>
        <v>38700</v>
      </c>
      <c r="X39" s="85">
        <f>SUM(X35:X38)+SUM(X28:X32)</f>
        <v>3550</v>
      </c>
      <c r="Y39" s="86">
        <f t="shared" si="15"/>
        <v>46750</v>
      </c>
      <c r="Z39" s="87">
        <f>SUM(Z28:Z32)+SUM(Z35:Z38)</f>
        <v>0</v>
      </c>
      <c r="AA39" s="88">
        <f>SUM(AA35:AA38)+SUM(AA28:AA32)</f>
        <v>46750</v>
      </c>
      <c r="AB39" s="89">
        <f t="shared" si="17"/>
        <v>1.1104513064133017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18">D24-D39</f>
        <v>0</v>
      </c>
      <c r="E40" s="92">
        <f t="shared" si="18"/>
        <v>-1177.7000000000007</v>
      </c>
      <c r="F40" s="92">
        <f t="shared" si="18"/>
        <v>1131.7999999999993</v>
      </c>
      <c r="G40" s="93">
        <f t="shared" si="18"/>
        <v>-45.900000000008731</v>
      </c>
      <c r="H40" s="93">
        <f t="shared" si="18"/>
        <v>177.6</v>
      </c>
      <c r="I40" s="94">
        <f t="shared" si="18"/>
        <v>131.69999999999709</v>
      </c>
      <c r="J40" s="92">
        <f t="shared" si="18"/>
        <v>0</v>
      </c>
      <c r="K40" s="92">
        <f t="shared" si="18"/>
        <v>0</v>
      </c>
      <c r="L40" s="92">
        <f t="shared" si="18"/>
        <v>0</v>
      </c>
      <c r="M40" s="93">
        <f t="shared" si="18"/>
        <v>0</v>
      </c>
      <c r="N40" s="93">
        <f t="shared" si="18"/>
        <v>0</v>
      </c>
      <c r="O40" s="94">
        <f t="shared" si="18"/>
        <v>0</v>
      </c>
      <c r="P40" s="92">
        <f t="shared" si="18"/>
        <v>430.40000000000009</v>
      </c>
      <c r="Q40" s="92">
        <f t="shared" si="18"/>
        <v>174</v>
      </c>
      <c r="R40" s="92">
        <f t="shared" si="18"/>
        <v>671.80000000000018</v>
      </c>
      <c r="S40" s="93">
        <f t="shared" si="18"/>
        <v>1276.2000000000007</v>
      </c>
      <c r="T40" s="93">
        <f t="shared" si="18"/>
        <v>177</v>
      </c>
      <c r="U40" s="94">
        <f t="shared" si="18"/>
        <v>1453.2000000000007</v>
      </c>
      <c r="V40" s="92">
        <f t="shared" si="18"/>
        <v>0</v>
      </c>
      <c r="W40" s="92">
        <f t="shared" si="18"/>
        <v>0</v>
      </c>
      <c r="X40" s="92">
        <f t="shared" si="18"/>
        <v>0</v>
      </c>
      <c r="Y40" s="93">
        <f t="shared" si="18"/>
        <v>0</v>
      </c>
      <c r="Z40" s="93">
        <f t="shared" si="18"/>
        <v>0</v>
      </c>
      <c r="AA40" s="94">
        <f t="shared" si="18"/>
        <v>0</v>
      </c>
      <c r="AB40" s="95" t="e">
        <f t="shared" si="17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-4267.3000000000029</v>
      </c>
      <c r="J41" s="98"/>
      <c r="K41" s="99"/>
      <c r="L41" s="99"/>
      <c r="M41" s="100"/>
      <c r="N41" s="103"/>
      <c r="O41" s="102">
        <f>O40-J16</f>
        <v>-4450</v>
      </c>
      <c r="P41" s="98"/>
      <c r="Q41" s="99"/>
      <c r="R41" s="99"/>
      <c r="S41" s="100"/>
      <c r="T41" s="103"/>
      <c r="U41" s="102">
        <f>U40-P16</f>
        <v>-1013.6999999999994</v>
      </c>
      <c r="V41" s="98"/>
      <c r="W41" s="99"/>
      <c r="X41" s="99"/>
      <c r="Y41" s="100"/>
      <c r="Z41" s="103"/>
      <c r="AA41" s="102">
        <f>AA40-V16</f>
        <v>-4500</v>
      </c>
      <c r="AB41" s="21">
        <f t="shared" si="17"/>
        <v>1.0112359550561798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295</v>
      </c>
      <c r="E44" s="117">
        <v>295</v>
      </c>
      <c r="F44" s="118">
        <v>0</v>
      </c>
      <c r="G44" s="108"/>
      <c r="H44" s="108"/>
      <c r="I44" s="115"/>
      <c r="J44" s="116">
        <v>292</v>
      </c>
      <c r="K44" s="117">
        <v>292</v>
      </c>
      <c r="L44" s="118">
        <v>0</v>
      </c>
      <c r="M44" s="119"/>
      <c r="N44" s="119"/>
      <c r="O44" s="119"/>
      <c r="P44" s="116">
        <v>146</v>
      </c>
      <c r="Q44" s="117">
        <v>146</v>
      </c>
      <c r="R44" s="118">
        <v>0</v>
      </c>
      <c r="S44" s="3"/>
      <c r="T44" s="3"/>
      <c r="U44" s="3"/>
      <c r="V44" s="116">
        <v>300</v>
      </c>
      <c r="W44" s="117">
        <v>300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D50+E50-F50</f>
        <v>0</v>
      </c>
      <c r="H50" s="108"/>
      <c r="I50" s="3"/>
      <c r="J50" s="129"/>
      <c r="K50" s="129"/>
      <c r="L50" s="129"/>
      <c r="M50" s="130">
        <f>J50+K50-L50</f>
        <v>0</v>
      </c>
      <c r="N50" s="3"/>
      <c r="O50" s="3"/>
      <c r="P50" s="129"/>
      <c r="Q50" s="129"/>
      <c r="R50" s="129"/>
      <c r="S50" s="130">
        <f>P50+Q50-R50</f>
        <v>0</v>
      </c>
      <c r="T50" s="3"/>
      <c r="U50" s="3"/>
      <c r="V50" s="129"/>
      <c r="W50" s="129"/>
      <c r="X50" s="129"/>
      <c r="Y50" s="13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2047.6</v>
      </c>
      <c r="E51" s="129">
        <v>276.3</v>
      </c>
      <c r="F51" s="129">
        <v>1695.7</v>
      </c>
      <c r="G51" s="130">
        <f>D51+E51-F51</f>
        <v>628.20000000000005</v>
      </c>
      <c r="H51" s="108"/>
      <c r="I51" s="3"/>
      <c r="J51" s="129">
        <v>628.20000000000005</v>
      </c>
      <c r="K51" s="129">
        <v>71</v>
      </c>
      <c r="L51" s="129">
        <v>0</v>
      </c>
      <c r="M51" s="130">
        <f>J51+K51-L51</f>
        <v>699.2</v>
      </c>
      <c r="N51" s="3"/>
      <c r="O51" s="3"/>
      <c r="P51" s="129">
        <v>628.20000000000005</v>
      </c>
      <c r="Q51" s="129">
        <v>71</v>
      </c>
      <c r="R51" s="129">
        <v>359</v>
      </c>
      <c r="S51" s="130">
        <f>P51+Q51-R51</f>
        <v>340.20000000000005</v>
      </c>
      <c r="T51" s="3"/>
      <c r="U51" s="3"/>
      <c r="V51" s="129">
        <v>340</v>
      </c>
      <c r="W51" s="129">
        <v>60</v>
      </c>
      <c r="X51" s="129">
        <v>0</v>
      </c>
      <c r="Y51" s="130">
        <f>V51+W51-X51</f>
        <v>400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771.6</v>
      </c>
      <c r="E52" s="129">
        <v>584.29999999999995</v>
      </c>
      <c r="F52" s="129">
        <v>295.3</v>
      </c>
      <c r="G52" s="130">
        <f>D52+E52-F52</f>
        <v>1060.6000000000001</v>
      </c>
      <c r="H52" s="108"/>
      <c r="I52" s="3"/>
      <c r="J52" s="129">
        <v>1060.5999999999999</v>
      </c>
      <c r="K52" s="129">
        <v>582</v>
      </c>
      <c r="L52" s="129">
        <v>292</v>
      </c>
      <c r="M52" s="130">
        <f>J52+K52-L52</f>
        <v>1350.6</v>
      </c>
      <c r="N52" s="3"/>
      <c r="O52" s="3"/>
      <c r="P52" s="129">
        <v>1060.5999999999999</v>
      </c>
      <c r="Q52" s="129">
        <v>582</v>
      </c>
      <c r="R52" s="129">
        <v>292</v>
      </c>
      <c r="S52" s="130">
        <f>P52+Q52-R52</f>
        <v>1350.6</v>
      </c>
      <c r="T52" s="3"/>
      <c r="U52" s="3"/>
      <c r="V52" s="129">
        <v>1350.6</v>
      </c>
      <c r="W52" s="129">
        <v>598</v>
      </c>
      <c r="X52" s="129">
        <v>300</v>
      </c>
      <c r="Y52" s="130">
        <f>V52+W52-X52</f>
        <v>1648.6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109.9</v>
      </c>
      <c r="E53" s="129">
        <v>81</v>
      </c>
      <c r="F53" s="129">
        <v>89.3</v>
      </c>
      <c r="G53" s="130">
        <f>D53+E53-F53</f>
        <v>101.60000000000001</v>
      </c>
      <c r="H53" s="108"/>
      <c r="I53" s="3"/>
      <c r="J53" s="129">
        <v>101.6</v>
      </c>
      <c r="K53" s="129">
        <v>60</v>
      </c>
      <c r="L53" s="129">
        <v>80</v>
      </c>
      <c r="M53" s="130">
        <f>J53+K53-L53</f>
        <v>81.599999999999994</v>
      </c>
      <c r="N53" s="3"/>
      <c r="O53" s="3"/>
      <c r="P53" s="129">
        <v>101.6</v>
      </c>
      <c r="Q53" s="129">
        <v>60</v>
      </c>
      <c r="R53" s="129">
        <v>80</v>
      </c>
      <c r="S53" s="130">
        <f>P53+Q53-R53</f>
        <v>81.599999999999994</v>
      </c>
      <c r="T53" s="3"/>
      <c r="U53" s="3"/>
      <c r="V53" s="129">
        <v>81.599999999999994</v>
      </c>
      <c r="W53" s="129">
        <v>50</v>
      </c>
      <c r="X53" s="129">
        <v>100</v>
      </c>
      <c r="Y53" s="130">
        <f>V53+W53-X53</f>
        <v>31.599999999999994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314</v>
      </c>
      <c r="E54" s="129">
        <v>458.4</v>
      </c>
      <c r="F54" s="129">
        <v>272.5</v>
      </c>
      <c r="G54" s="130">
        <f>D54+E54-F54</f>
        <v>499.9</v>
      </c>
      <c r="H54" s="108"/>
      <c r="I54" s="3"/>
      <c r="J54" s="129">
        <v>499.9</v>
      </c>
      <c r="K54" s="129">
        <v>513.29999999999995</v>
      </c>
      <c r="L54" s="129">
        <v>650</v>
      </c>
      <c r="M54" s="130">
        <f>J54+K54-L54</f>
        <v>363.19999999999993</v>
      </c>
      <c r="N54" s="3"/>
      <c r="O54" s="3"/>
      <c r="P54" s="129">
        <v>499.9</v>
      </c>
      <c r="Q54" s="129">
        <v>513.29999999999995</v>
      </c>
      <c r="R54" s="129">
        <v>650</v>
      </c>
      <c r="S54" s="130">
        <f>P54+Q54-R54</f>
        <v>363.19999999999993</v>
      </c>
      <c r="T54" s="3"/>
      <c r="U54" s="3"/>
      <c r="V54" s="129">
        <v>363.2</v>
      </c>
      <c r="W54" s="129">
        <v>539</v>
      </c>
      <c r="X54" s="129">
        <v>400</v>
      </c>
      <c r="Y54" s="130">
        <f>V54+W54-X54</f>
        <v>502.20000000000005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70</v>
      </c>
      <c r="E57" s="132">
        <v>72</v>
      </c>
      <c r="F57" s="108"/>
      <c r="G57" s="108"/>
      <c r="H57" s="108"/>
      <c r="I57" s="115"/>
      <c r="J57" s="132">
        <v>72</v>
      </c>
      <c r="K57" s="108"/>
      <c r="L57" s="108"/>
      <c r="M57" s="108"/>
      <c r="N57" s="108"/>
      <c r="O57" s="115"/>
      <c r="P57" s="132">
        <v>72</v>
      </c>
      <c r="Q57" s="115"/>
      <c r="R57" s="115"/>
      <c r="S57" s="115"/>
      <c r="T57" s="115"/>
      <c r="U57" s="115"/>
      <c r="V57" s="132">
        <v>72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ht="18.75" x14ac:dyDescent="0.3">
      <c r="A60" s="1"/>
      <c r="B60" s="162" t="s">
        <v>112</v>
      </c>
      <c r="C60" s="161"/>
      <c r="D60" s="161"/>
      <c r="E60" s="161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65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43707</v>
      </c>
      <c r="D91" s="156" t="s">
        <v>105</v>
      </c>
      <c r="E91" s="313" t="s">
        <v>111</v>
      </c>
      <c r="F91" s="313"/>
      <c r="G91" s="313"/>
      <c r="H91" s="156"/>
      <c r="I91" s="156" t="s">
        <v>107</v>
      </c>
      <c r="J91" s="314" t="s">
        <v>110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J10:O10"/>
    <mergeCell ref="J11:M11"/>
    <mergeCell ref="J12:O12"/>
    <mergeCell ref="J13:L13"/>
    <mergeCell ref="M13:M14"/>
    <mergeCell ref="N13:N14"/>
    <mergeCell ref="D4:U4"/>
    <mergeCell ref="D8:U8"/>
    <mergeCell ref="C43:C44"/>
    <mergeCell ref="C46:C47"/>
    <mergeCell ref="C26:C27"/>
    <mergeCell ref="O13:O14"/>
    <mergeCell ref="J25:O25"/>
    <mergeCell ref="J26:L26"/>
    <mergeCell ref="M26:M27"/>
    <mergeCell ref="N26:N27"/>
    <mergeCell ref="O26:O27"/>
    <mergeCell ref="I13:I14"/>
    <mergeCell ref="D25:I25"/>
    <mergeCell ref="D26:F26"/>
    <mergeCell ref="G26:G27"/>
    <mergeCell ref="P10:U10"/>
    <mergeCell ref="H26:H27"/>
    <mergeCell ref="I26:I27"/>
    <mergeCell ref="H13:H14"/>
    <mergeCell ref="E91:G91"/>
    <mergeCell ref="J91:M91"/>
    <mergeCell ref="B63:U63"/>
    <mergeCell ref="B82:U82"/>
    <mergeCell ref="B62:U62"/>
    <mergeCell ref="D59:U59"/>
    <mergeCell ref="B61:U61"/>
    <mergeCell ref="B26:B27"/>
    <mergeCell ref="B10:B13"/>
    <mergeCell ref="P11:S11"/>
    <mergeCell ref="P12:U12"/>
    <mergeCell ref="P13:R13"/>
    <mergeCell ref="G13:G14"/>
    <mergeCell ref="D12:I12"/>
    <mergeCell ref="D10:I10"/>
    <mergeCell ref="D11:G11"/>
    <mergeCell ref="C10:C13"/>
    <mergeCell ref="D13:F13"/>
    <mergeCell ref="S13:S14"/>
    <mergeCell ref="T13:T14"/>
    <mergeCell ref="U13:U14"/>
    <mergeCell ref="P25:U25"/>
    <mergeCell ref="P26:R26"/>
    <mergeCell ref="S26:S27"/>
    <mergeCell ref="T26:T27"/>
    <mergeCell ref="U26:U27"/>
    <mergeCell ref="V10:AA10"/>
    <mergeCell ref="V25:AA25"/>
    <mergeCell ref="Y13:Y14"/>
    <mergeCell ref="Z13:Z14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</mergeCells>
  <conditionalFormatting sqref="AB15:AB25">
    <cfRule type="cellIs" dxfId="49" priority="3" operator="equal">
      <formula>0</formula>
    </cfRule>
    <cfRule type="containsErrors" dxfId="48" priority="4">
      <formula>ISERROR(AB15)</formula>
    </cfRule>
  </conditionalFormatting>
  <conditionalFormatting sqref="AB28:AB41">
    <cfRule type="cellIs" dxfId="47" priority="1" operator="equal">
      <formula>0</formula>
    </cfRule>
    <cfRule type="containsErrors" dxfId="46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80" zoomScaleNormal="80" zoomScaleSheetLayoutView="80" workbookViewId="0">
      <selection activeCell="J44" sqref="J4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116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46789707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117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1825.3</v>
      </c>
      <c r="G15" s="18">
        <v>1825.3</v>
      </c>
      <c r="H15" s="19">
        <v>99.8</v>
      </c>
      <c r="I15" s="20">
        <f>G15+H15</f>
        <v>1925.1</v>
      </c>
      <c r="J15" s="15"/>
      <c r="K15" s="16"/>
      <c r="L15" s="17">
        <v>1848</v>
      </c>
      <c r="M15" s="18">
        <f t="shared" ref="M15:M23" si="0">SUM(J15:L15)</f>
        <v>1848</v>
      </c>
      <c r="N15" s="19">
        <v>100</v>
      </c>
      <c r="O15" s="20">
        <f>M15+N15</f>
        <v>1948</v>
      </c>
      <c r="P15" s="15"/>
      <c r="Q15" s="16"/>
      <c r="R15" s="17">
        <v>1083.5999999999999</v>
      </c>
      <c r="S15" s="18">
        <f>SUM(P15:R15)</f>
        <v>1083.5999999999999</v>
      </c>
      <c r="T15" s="19">
        <v>70</v>
      </c>
      <c r="U15" s="20">
        <f>S15+T15</f>
        <v>1153.5999999999999</v>
      </c>
      <c r="V15" s="15"/>
      <c r="W15" s="16"/>
      <c r="X15" s="17">
        <v>1800</v>
      </c>
      <c r="Y15" s="18">
        <f>SUM(V15:X15)</f>
        <v>1800</v>
      </c>
      <c r="Z15" s="19">
        <v>100</v>
      </c>
      <c r="AA15" s="20">
        <f>Y15+Z15</f>
        <v>1900</v>
      </c>
      <c r="AB15" s="21">
        <f>(AA15/O15)</f>
        <v>0.97535934291581106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4447</v>
      </c>
      <c r="E16" s="25"/>
      <c r="F16" s="25"/>
      <c r="G16" s="26">
        <f t="shared" ref="G16:G23" si="1">SUM(D16:F16)</f>
        <v>4447</v>
      </c>
      <c r="H16" s="27"/>
      <c r="I16" s="20">
        <f t="shared" ref="I16:I23" si="2">G16+H16</f>
        <v>4447</v>
      </c>
      <c r="J16" s="24">
        <v>4395</v>
      </c>
      <c r="K16" s="25"/>
      <c r="L16" s="25"/>
      <c r="M16" s="26">
        <f t="shared" si="0"/>
        <v>4395</v>
      </c>
      <c r="N16" s="27"/>
      <c r="O16" s="20">
        <f t="shared" ref="O16:O20" si="3">M16+N16</f>
        <v>4395</v>
      </c>
      <c r="P16" s="24">
        <v>2400</v>
      </c>
      <c r="Q16" s="25"/>
      <c r="R16" s="25"/>
      <c r="S16" s="26">
        <f t="shared" ref="S16:S23" si="4">SUM(P16:R16)</f>
        <v>2400</v>
      </c>
      <c r="T16" s="27"/>
      <c r="U16" s="20">
        <f t="shared" ref="U16:U20" si="5">S16+T16</f>
        <v>2400</v>
      </c>
      <c r="V16" s="24">
        <v>4930</v>
      </c>
      <c r="W16" s="25"/>
      <c r="X16" s="25"/>
      <c r="Y16" s="26">
        <f t="shared" ref="Y16:Y23" si="6">SUM(V16:X16)</f>
        <v>4930</v>
      </c>
      <c r="Z16" s="27"/>
      <c r="AA16" s="20">
        <f t="shared" ref="AA16:AA20" si="7">Y16+Z16</f>
        <v>4930</v>
      </c>
      <c r="AB16" s="21">
        <f t="shared" ref="AB16:AB24" si="8">(AA16/O16)</f>
        <v>1.1217292377701935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429</v>
      </c>
      <c r="E17" s="30"/>
      <c r="F17" s="30"/>
      <c r="G17" s="26">
        <f t="shared" si="1"/>
        <v>429</v>
      </c>
      <c r="H17" s="31"/>
      <c r="I17" s="20">
        <f t="shared" si="2"/>
        <v>429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459.3</v>
      </c>
      <c r="Q17" s="30"/>
      <c r="R17" s="30"/>
      <c r="S17" s="26">
        <f t="shared" si="4"/>
        <v>459.3</v>
      </c>
      <c r="T17" s="31"/>
      <c r="U17" s="20">
        <f t="shared" si="5"/>
        <v>459.3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25259.7</v>
      </c>
      <c r="F18" s="30"/>
      <c r="G18" s="26">
        <f t="shared" si="1"/>
        <v>25259.7</v>
      </c>
      <c r="H18" s="19"/>
      <c r="I18" s="20">
        <f t="shared" si="2"/>
        <v>25259.7</v>
      </c>
      <c r="J18" s="33"/>
      <c r="K18" s="34">
        <v>27595.8</v>
      </c>
      <c r="L18" s="30"/>
      <c r="M18" s="26">
        <f t="shared" si="0"/>
        <v>27595.8</v>
      </c>
      <c r="N18" s="19"/>
      <c r="O18" s="20">
        <f t="shared" si="3"/>
        <v>27595.8</v>
      </c>
      <c r="P18" s="33"/>
      <c r="Q18" s="34">
        <v>14064.8</v>
      </c>
      <c r="R18" s="30"/>
      <c r="S18" s="26">
        <f t="shared" si="4"/>
        <v>14064.8</v>
      </c>
      <c r="T18" s="19"/>
      <c r="U18" s="20">
        <f t="shared" si="5"/>
        <v>14064.8</v>
      </c>
      <c r="V18" s="33"/>
      <c r="W18" s="34">
        <v>27600</v>
      </c>
      <c r="X18" s="30"/>
      <c r="Y18" s="26">
        <f t="shared" si="6"/>
        <v>27600</v>
      </c>
      <c r="Z18" s="19"/>
      <c r="AA18" s="20">
        <f t="shared" si="7"/>
        <v>27600</v>
      </c>
      <c r="AB18" s="21">
        <f t="shared" si="8"/>
        <v>1.0001521970734677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107.3</v>
      </c>
      <c r="G20" s="26">
        <v>107.3</v>
      </c>
      <c r="H20" s="38"/>
      <c r="I20" s="20">
        <f t="shared" si="2"/>
        <v>107.3</v>
      </c>
      <c r="J20" s="33"/>
      <c r="K20" s="25"/>
      <c r="L20" s="40">
        <v>130</v>
      </c>
      <c r="M20" s="26">
        <f t="shared" si="0"/>
        <v>130</v>
      </c>
      <c r="N20" s="38"/>
      <c r="O20" s="20">
        <f t="shared" si="3"/>
        <v>130</v>
      </c>
      <c r="P20" s="33"/>
      <c r="Q20" s="25"/>
      <c r="R20" s="40">
        <v>59.7</v>
      </c>
      <c r="S20" s="26">
        <f t="shared" si="4"/>
        <v>59.7</v>
      </c>
      <c r="T20" s="38"/>
      <c r="U20" s="20">
        <f t="shared" si="5"/>
        <v>59.7</v>
      </c>
      <c r="V20" s="33"/>
      <c r="W20" s="25"/>
      <c r="X20" s="40">
        <v>100</v>
      </c>
      <c r="Y20" s="26">
        <f t="shared" si="6"/>
        <v>100</v>
      </c>
      <c r="Z20" s="38"/>
      <c r="AA20" s="20">
        <f t="shared" si="7"/>
        <v>100</v>
      </c>
      <c r="AB20" s="21">
        <f t="shared" si="8"/>
        <v>0.76923076923076927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1109.2</v>
      </c>
      <c r="G21" s="26">
        <f t="shared" si="1"/>
        <v>1109.2</v>
      </c>
      <c r="H21" s="42"/>
      <c r="I21" s="20">
        <f>G21+H21</f>
        <v>1109.2</v>
      </c>
      <c r="J21" s="33"/>
      <c r="K21" s="25"/>
      <c r="L21" s="40">
        <v>500</v>
      </c>
      <c r="M21" s="26">
        <f t="shared" si="0"/>
        <v>500</v>
      </c>
      <c r="N21" s="42"/>
      <c r="O21" s="20">
        <f>M21+N21</f>
        <v>500</v>
      </c>
      <c r="P21" s="33"/>
      <c r="Q21" s="25"/>
      <c r="R21" s="40">
        <v>1292.4000000000001</v>
      </c>
      <c r="S21" s="26">
        <f t="shared" si="4"/>
        <v>1292.4000000000001</v>
      </c>
      <c r="T21" s="42"/>
      <c r="U21" s="20">
        <f>S21+T21</f>
        <v>1292.4000000000001</v>
      </c>
      <c r="V21" s="33"/>
      <c r="W21" s="25"/>
      <c r="X21" s="40">
        <v>1100</v>
      </c>
      <c r="Y21" s="26">
        <f t="shared" si="6"/>
        <v>1100</v>
      </c>
      <c r="Z21" s="42"/>
      <c r="AA21" s="20">
        <f>Y21+Z21</f>
        <v>1100</v>
      </c>
      <c r="AB21" s="21">
        <f t="shared" si="8"/>
        <v>2.2000000000000002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/>
      <c r="I22" s="20">
        <f t="shared" si="2"/>
        <v>0</v>
      </c>
      <c r="J22" s="33"/>
      <c r="K22" s="25"/>
      <c r="L22" s="40"/>
      <c r="M22" s="26">
        <f t="shared" si="0"/>
        <v>0</v>
      </c>
      <c r="N22" s="42"/>
      <c r="O22" s="20">
        <f t="shared" ref="O22:O23" si="9">M22+N22</f>
        <v>0</v>
      </c>
      <c r="P22" s="33"/>
      <c r="Q22" s="25"/>
      <c r="R22" s="40"/>
      <c r="S22" s="26">
        <f t="shared" si="4"/>
        <v>0</v>
      </c>
      <c r="T22" s="42"/>
      <c r="U22" s="20">
        <f t="shared" ref="U22:U23" si="10">S22+T22</f>
        <v>0</v>
      </c>
      <c r="V22" s="33"/>
      <c r="W22" s="25"/>
      <c r="X22" s="40"/>
      <c r="Y22" s="26">
        <f t="shared" si="6"/>
        <v>0</v>
      </c>
      <c r="Z22" s="42"/>
      <c r="AA22" s="20">
        <f t="shared" ref="AA22:AA23" si="11">Y22+Z22</f>
        <v>0</v>
      </c>
      <c r="AB22" s="21" t="e">
        <f t="shared" si="8"/>
        <v>#DIV/0!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4876</v>
      </c>
      <c r="E24" s="55">
        <f>SUM(E15:E21)</f>
        <v>25259.7</v>
      </c>
      <c r="F24" s="55">
        <f>SUM(F15:F21)</f>
        <v>3041.8</v>
      </c>
      <c r="G24" s="56">
        <f>SUM(D24:F24)</f>
        <v>33177.5</v>
      </c>
      <c r="H24" s="57">
        <f>SUM(H15:H21)</f>
        <v>99.8</v>
      </c>
      <c r="I24" s="57">
        <f>SUM(I15:I21)</f>
        <v>33277.300000000003</v>
      </c>
      <c r="J24" s="54">
        <f>SUM(J15:J21)</f>
        <v>4395</v>
      </c>
      <c r="K24" s="55">
        <f>SUM(K15:K21)</f>
        <v>27595.8</v>
      </c>
      <c r="L24" s="55">
        <f>SUM(L15:L21)</f>
        <v>2478</v>
      </c>
      <c r="M24" s="56">
        <f>SUM(J24:L24)</f>
        <v>34468.800000000003</v>
      </c>
      <c r="N24" s="57">
        <f>SUM(N15:N21)</f>
        <v>100</v>
      </c>
      <c r="O24" s="57">
        <f>SUM(O15:O21)</f>
        <v>34568.800000000003</v>
      </c>
      <c r="P24" s="54">
        <f>SUM(P15:P21)</f>
        <v>2859.3</v>
      </c>
      <c r="Q24" s="55">
        <f>SUM(Q15:Q21)</f>
        <v>14064.8</v>
      </c>
      <c r="R24" s="55">
        <f>SUM(R15:R21)</f>
        <v>2435.6999999999998</v>
      </c>
      <c r="S24" s="56">
        <f>SUM(P24:R24)</f>
        <v>19359.8</v>
      </c>
      <c r="T24" s="57">
        <f>SUM(T15:T21)</f>
        <v>70</v>
      </c>
      <c r="U24" s="57">
        <f>SUM(U15:U21)</f>
        <v>19429.800000000003</v>
      </c>
      <c r="V24" s="54">
        <f>SUM(V15:V21)</f>
        <v>4930</v>
      </c>
      <c r="W24" s="55">
        <f>SUM(W15:W21)</f>
        <v>27600</v>
      </c>
      <c r="X24" s="55">
        <f>SUM(X15:X21)</f>
        <v>3000</v>
      </c>
      <c r="Y24" s="56">
        <f>SUM(V24:X24)</f>
        <v>35530</v>
      </c>
      <c r="Z24" s="57">
        <f>SUM(Z15:Z21)</f>
        <v>100</v>
      </c>
      <c r="AA24" s="57">
        <f>SUM(AA15:AA21)</f>
        <v>35630</v>
      </c>
      <c r="AB24" s="58">
        <f t="shared" si="8"/>
        <v>1.0306982018467519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237.1</v>
      </c>
      <c r="E28" s="65"/>
      <c r="F28" s="65">
        <v>156.1</v>
      </c>
      <c r="G28" s="66">
        <f>SUM(D28:F28)</f>
        <v>393.2</v>
      </c>
      <c r="H28" s="66"/>
      <c r="I28" s="67">
        <f>G28+H28</f>
        <v>393.2</v>
      </c>
      <c r="J28" s="68">
        <v>190</v>
      </c>
      <c r="K28" s="65"/>
      <c r="L28" s="65">
        <v>28</v>
      </c>
      <c r="M28" s="66">
        <f>SUM(J28:L28)</f>
        <v>218</v>
      </c>
      <c r="N28" s="66"/>
      <c r="O28" s="67">
        <f>M28+N28</f>
        <v>218</v>
      </c>
      <c r="P28" s="68">
        <v>161.6</v>
      </c>
      <c r="Q28" s="65"/>
      <c r="R28" s="65"/>
      <c r="S28" s="66">
        <f>SUM(P28:R28)</f>
        <v>161.6</v>
      </c>
      <c r="T28" s="66"/>
      <c r="U28" s="67">
        <f>S28+T28</f>
        <v>161.6</v>
      </c>
      <c r="V28" s="68">
        <v>240</v>
      </c>
      <c r="W28" s="65"/>
      <c r="X28" s="65"/>
      <c r="Y28" s="66">
        <f>SUM(V28:X28)</f>
        <v>240</v>
      </c>
      <c r="Z28" s="66"/>
      <c r="AA28" s="67">
        <f>Y28+Z28</f>
        <v>240</v>
      </c>
      <c r="AB28" s="21">
        <f t="shared" ref="AB28:AB41" si="12">(AA28/O28)</f>
        <v>1.1009174311926606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692.9</v>
      </c>
      <c r="E29" s="70">
        <v>376.6</v>
      </c>
      <c r="F29" s="70">
        <v>1651.4</v>
      </c>
      <c r="G29" s="71">
        <f t="shared" ref="G29:G38" si="13">SUM(D29:F29)</f>
        <v>2720.9</v>
      </c>
      <c r="H29" s="72"/>
      <c r="I29" s="20">
        <f t="shared" ref="I29:I38" si="14">G29+H29</f>
        <v>2720.9</v>
      </c>
      <c r="J29" s="73">
        <v>1460</v>
      </c>
      <c r="K29" s="70">
        <v>300</v>
      </c>
      <c r="L29" s="70">
        <v>1848</v>
      </c>
      <c r="M29" s="71">
        <f t="shared" ref="M29:M38" si="15">SUM(J29:L29)</f>
        <v>3608</v>
      </c>
      <c r="N29" s="72"/>
      <c r="O29" s="20">
        <f t="shared" ref="O29:O38" si="16">M29+N29</f>
        <v>3608</v>
      </c>
      <c r="P29" s="73">
        <v>322.10000000000002</v>
      </c>
      <c r="Q29" s="70">
        <v>93.1</v>
      </c>
      <c r="R29" s="70">
        <v>1010.6</v>
      </c>
      <c r="S29" s="71">
        <f t="shared" ref="S29:S38" si="17">SUM(P29:R29)</f>
        <v>1425.8000000000002</v>
      </c>
      <c r="T29" s="72"/>
      <c r="U29" s="20">
        <f t="shared" ref="U29:U38" si="18">S29+T29</f>
        <v>1425.8000000000002</v>
      </c>
      <c r="V29" s="73">
        <v>700</v>
      </c>
      <c r="W29" s="70">
        <v>248</v>
      </c>
      <c r="X29" s="70">
        <v>1900</v>
      </c>
      <c r="Y29" s="71">
        <f t="shared" ref="Y29:Y38" si="19">SUM(V29:X29)</f>
        <v>2848</v>
      </c>
      <c r="Z29" s="72">
        <v>20</v>
      </c>
      <c r="AA29" s="20">
        <f t="shared" ref="AA29:AA38" si="20">Y29+Z29</f>
        <v>2868</v>
      </c>
      <c r="AB29" s="21">
        <f t="shared" si="12"/>
        <v>0.79490022172949004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1791.2</v>
      </c>
      <c r="E30" s="74"/>
      <c r="F30" s="74" t="s">
        <v>56</v>
      </c>
      <c r="G30" s="71">
        <f t="shared" si="13"/>
        <v>1791.2</v>
      </c>
      <c r="H30" s="71">
        <v>18.899999999999999</v>
      </c>
      <c r="I30" s="20">
        <f t="shared" si="14"/>
        <v>1810.1000000000001</v>
      </c>
      <c r="J30" s="75">
        <v>2020</v>
      </c>
      <c r="K30" s="74"/>
      <c r="L30" s="74"/>
      <c r="M30" s="71">
        <f t="shared" si="15"/>
        <v>2020</v>
      </c>
      <c r="N30" s="71">
        <v>20</v>
      </c>
      <c r="O30" s="20">
        <f t="shared" si="16"/>
        <v>2040</v>
      </c>
      <c r="P30" s="75">
        <v>1333.5</v>
      </c>
      <c r="Q30" s="74"/>
      <c r="R30" s="74"/>
      <c r="S30" s="71">
        <f t="shared" si="17"/>
        <v>1333.5</v>
      </c>
      <c r="T30" s="71">
        <v>11.5</v>
      </c>
      <c r="U30" s="20">
        <f t="shared" si="18"/>
        <v>1345</v>
      </c>
      <c r="V30" s="75">
        <v>2020</v>
      </c>
      <c r="W30" s="74"/>
      <c r="X30" s="74"/>
      <c r="Y30" s="71">
        <f t="shared" si="19"/>
        <v>2020</v>
      </c>
      <c r="Z30" s="71"/>
      <c r="AA30" s="20">
        <f t="shared" si="20"/>
        <v>2020</v>
      </c>
      <c r="AB30" s="21">
        <f t="shared" si="12"/>
        <v>0.99019607843137258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615.20000000000005</v>
      </c>
      <c r="E31" s="74">
        <v>102</v>
      </c>
      <c r="F31" s="74">
        <v>1060.5</v>
      </c>
      <c r="G31" s="71">
        <f t="shared" si="13"/>
        <v>1777.7</v>
      </c>
      <c r="H31" s="71"/>
      <c r="I31" s="20">
        <f t="shared" si="14"/>
        <v>1777.7</v>
      </c>
      <c r="J31" s="75">
        <v>100</v>
      </c>
      <c r="K31" s="74">
        <v>57</v>
      </c>
      <c r="L31" s="74">
        <v>400</v>
      </c>
      <c r="M31" s="71">
        <f t="shared" si="15"/>
        <v>557</v>
      </c>
      <c r="N31" s="71"/>
      <c r="O31" s="20">
        <f t="shared" si="16"/>
        <v>557</v>
      </c>
      <c r="P31" s="75">
        <v>153.19999999999999</v>
      </c>
      <c r="Q31" s="74">
        <v>48.4</v>
      </c>
      <c r="R31" s="74">
        <v>1339.4</v>
      </c>
      <c r="S31" s="71">
        <f t="shared" si="17"/>
        <v>1541</v>
      </c>
      <c r="T31" s="71"/>
      <c r="U31" s="20">
        <f t="shared" si="18"/>
        <v>1541</v>
      </c>
      <c r="V31" s="75">
        <v>800</v>
      </c>
      <c r="W31" s="74">
        <v>102</v>
      </c>
      <c r="X31" s="74"/>
      <c r="Y31" s="71">
        <f t="shared" si="19"/>
        <v>902</v>
      </c>
      <c r="Z31" s="71"/>
      <c r="AA31" s="20">
        <f t="shared" si="20"/>
        <v>902</v>
      </c>
      <c r="AB31" s="21">
        <f t="shared" si="12"/>
        <v>1.6193895870736086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291.89999999999998</v>
      </c>
      <c r="E32" s="74">
        <v>17878.7</v>
      </c>
      <c r="F32" s="74">
        <v>105.7</v>
      </c>
      <c r="G32" s="71">
        <f t="shared" si="13"/>
        <v>18276.300000000003</v>
      </c>
      <c r="H32" s="71"/>
      <c r="I32" s="20">
        <f t="shared" si="14"/>
        <v>18276.300000000003</v>
      </c>
      <c r="J32" s="77"/>
      <c r="K32" s="74">
        <v>19908.599999999999</v>
      </c>
      <c r="L32" s="74">
        <v>150</v>
      </c>
      <c r="M32" s="71">
        <f t="shared" si="15"/>
        <v>20058.599999999999</v>
      </c>
      <c r="N32" s="71"/>
      <c r="O32" s="20">
        <f t="shared" si="16"/>
        <v>20058.599999999999</v>
      </c>
      <c r="P32" s="77">
        <v>148</v>
      </c>
      <c r="Q32" s="74">
        <v>9646.7000000000007</v>
      </c>
      <c r="R32" s="74"/>
      <c r="S32" s="71">
        <f t="shared" si="17"/>
        <v>9794.7000000000007</v>
      </c>
      <c r="T32" s="71"/>
      <c r="U32" s="20">
        <f t="shared" si="18"/>
        <v>9794.7000000000007</v>
      </c>
      <c r="V32" s="77"/>
      <c r="W32" s="74">
        <v>19908</v>
      </c>
      <c r="X32" s="74"/>
      <c r="Y32" s="71">
        <f t="shared" si="19"/>
        <v>19908</v>
      </c>
      <c r="Z32" s="71"/>
      <c r="AA32" s="20">
        <f t="shared" si="20"/>
        <v>19908</v>
      </c>
      <c r="AB32" s="21">
        <f t="shared" si="12"/>
        <v>0.99249199844455749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268.39999999999998</v>
      </c>
      <c r="E33" s="74">
        <v>17760.2</v>
      </c>
      <c r="F33" s="74">
        <v>105.7</v>
      </c>
      <c r="G33" s="71">
        <f t="shared" si="13"/>
        <v>18134.300000000003</v>
      </c>
      <c r="H33" s="71"/>
      <c r="I33" s="20">
        <f t="shared" si="14"/>
        <v>18134.300000000003</v>
      </c>
      <c r="J33" s="77"/>
      <c r="K33" s="74">
        <v>19897.099999999999</v>
      </c>
      <c r="L33" s="74"/>
      <c r="M33" s="71">
        <f t="shared" si="15"/>
        <v>19897.099999999999</v>
      </c>
      <c r="N33" s="71"/>
      <c r="O33" s="20">
        <f t="shared" si="16"/>
        <v>19897.099999999999</v>
      </c>
      <c r="P33" s="77">
        <v>136.80000000000001</v>
      </c>
      <c r="Q33" s="74">
        <v>9635.2000000000007</v>
      </c>
      <c r="R33" s="74"/>
      <c r="S33" s="71">
        <f t="shared" si="17"/>
        <v>9772</v>
      </c>
      <c r="T33" s="71"/>
      <c r="U33" s="20">
        <f t="shared" si="18"/>
        <v>9772</v>
      </c>
      <c r="V33" s="77"/>
      <c r="W33" s="74">
        <v>19808</v>
      </c>
      <c r="X33" s="74"/>
      <c r="Y33" s="71">
        <f t="shared" si="19"/>
        <v>19808</v>
      </c>
      <c r="Z33" s="71"/>
      <c r="AA33" s="20">
        <f t="shared" si="20"/>
        <v>19808</v>
      </c>
      <c r="AB33" s="21">
        <f t="shared" si="12"/>
        <v>0.99552196048670416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>
        <v>23.5</v>
      </c>
      <c r="E34" s="74">
        <v>118.5</v>
      </c>
      <c r="F34" s="74"/>
      <c r="G34" s="71">
        <f t="shared" si="13"/>
        <v>142</v>
      </c>
      <c r="H34" s="71"/>
      <c r="I34" s="20">
        <f t="shared" si="14"/>
        <v>142</v>
      </c>
      <c r="J34" s="77"/>
      <c r="K34" s="74">
        <v>11.5</v>
      </c>
      <c r="L34" s="74"/>
      <c r="M34" s="71">
        <f>SUM(J34:L34)</f>
        <v>11.5</v>
      </c>
      <c r="N34" s="71"/>
      <c r="O34" s="20">
        <f t="shared" si="16"/>
        <v>11.5</v>
      </c>
      <c r="P34" s="77">
        <v>11.2</v>
      </c>
      <c r="Q34" s="74">
        <v>11.5</v>
      </c>
      <c r="R34" s="74"/>
      <c r="S34" s="71">
        <f t="shared" si="17"/>
        <v>22.7</v>
      </c>
      <c r="T34" s="71"/>
      <c r="U34" s="20">
        <f t="shared" si="18"/>
        <v>22.7</v>
      </c>
      <c r="V34" s="77" t="s">
        <v>56</v>
      </c>
      <c r="W34" s="74">
        <v>100</v>
      </c>
      <c r="X34" s="74"/>
      <c r="Y34" s="71">
        <f t="shared" si="19"/>
        <v>100</v>
      </c>
      <c r="Z34" s="71"/>
      <c r="AA34" s="20">
        <f t="shared" si="20"/>
        <v>100</v>
      </c>
      <c r="AB34" s="21">
        <f t="shared" si="12"/>
        <v>8.695652173913043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125.8</v>
      </c>
      <c r="E35" s="74">
        <v>6617</v>
      </c>
      <c r="F35" s="74"/>
      <c r="G35" s="71">
        <f t="shared" si="13"/>
        <v>6742.8</v>
      </c>
      <c r="H35" s="71"/>
      <c r="I35" s="20">
        <f t="shared" si="14"/>
        <v>6742.8</v>
      </c>
      <c r="J35" s="77">
        <v>44</v>
      </c>
      <c r="K35" s="74">
        <v>7237.3</v>
      </c>
      <c r="L35" s="74"/>
      <c r="M35" s="71">
        <f t="shared" si="15"/>
        <v>7281.3</v>
      </c>
      <c r="N35" s="71"/>
      <c r="O35" s="20">
        <f t="shared" si="16"/>
        <v>7281.3</v>
      </c>
      <c r="P35" s="77">
        <v>87.4</v>
      </c>
      <c r="Q35" s="74">
        <v>3270.7</v>
      </c>
      <c r="R35" s="74"/>
      <c r="S35" s="71">
        <f t="shared" si="17"/>
        <v>3358.1</v>
      </c>
      <c r="T35" s="71"/>
      <c r="U35" s="20">
        <f t="shared" si="18"/>
        <v>3358.1</v>
      </c>
      <c r="V35" s="77"/>
      <c r="W35" s="74">
        <v>7236</v>
      </c>
      <c r="X35" s="74">
        <v>1100</v>
      </c>
      <c r="Y35" s="71">
        <f t="shared" si="19"/>
        <v>8336</v>
      </c>
      <c r="Z35" s="71"/>
      <c r="AA35" s="20">
        <f t="shared" si="20"/>
        <v>8336</v>
      </c>
      <c r="AB35" s="21">
        <f t="shared" si="12"/>
        <v>1.1448505074643265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/>
      <c r="G36" s="71">
        <f t="shared" si="13"/>
        <v>0</v>
      </c>
      <c r="H36" s="71"/>
      <c r="I36" s="20">
        <f t="shared" si="14"/>
        <v>0</v>
      </c>
      <c r="J36" s="75"/>
      <c r="K36" s="74"/>
      <c r="L36" s="74"/>
      <c r="M36" s="71">
        <f t="shared" si="15"/>
        <v>0</v>
      </c>
      <c r="N36" s="71"/>
      <c r="O36" s="20">
        <f t="shared" si="16"/>
        <v>0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75"/>
      <c r="W36" s="74"/>
      <c r="X36" s="74"/>
      <c r="Y36" s="71">
        <f t="shared" si="19"/>
        <v>0</v>
      </c>
      <c r="Z36" s="71"/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567.20000000000005</v>
      </c>
      <c r="E37" s="74"/>
      <c r="F37" s="74"/>
      <c r="G37" s="71">
        <f t="shared" si="13"/>
        <v>567.20000000000005</v>
      </c>
      <c r="H37" s="71"/>
      <c r="I37" s="20">
        <f t="shared" si="14"/>
        <v>567.20000000000005</v>
      </c>
      <c r="J37" s="75">
        <v>486</v>
      </c>
      <c r="K37" s="74"/>
      <c r="L37" s="74"/>
      <c r="M37" s="71">
        <f t="shared" si="15"/>
        <v>486</v>
      </c>
      <c r="N37" s="71"/>
      <c r="O37" s="20">
        <f t="shared" si="16"/>
        <v>486</v>
      </c>
      <c r="P37" s="75">
        <v>305.39999999999998</v>
      </c>
      <c r="Q37" s="74"/>
      <c r="R37" s="74"/>
      <c r="S37" s="71">
        <f t="shared" si="17"/>
        <v>305.39999999999998</v>
      </c>
      <c r="T37" s="71"/>
      <c r="U37" s="20">
        <f t="shared" si="18"/>
        <v>305.39999999999998</v>
      </c>
      <c r="V37" s="75">
        <v>935</v>
      </c>
      <c r="W37" s="74"/>
      <c r="X37" s="74"/>
      <c r="Y37" s="71">
        <f t="shared" si="19"/>
        <v>935</v>
      </c>
      <c r="Z37" s="71"/>
      <c r="AA37" s="20">
        <f t="shared" si="20"/>
        <v>935</v>
      </c>
      <c r="AB37" s="21">
        <f t="shared" si="12"/>
        <v>1.9238683127572016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554.70000000000005</v>
      </c>
      <c r="E38" s="81">
        <v>285.39999999999998</v>
      </c>
      <c r="F38" s="81">
        <v>21</v>
      </c>
      <c r="G38" s="71">
        <f t="shared" si="13"/>
        <v>861.1</v>
      </c>
      <c r="H38" s="82"/>
      <c r="I38" s="50">
        <f t="shared" si="14"/>
        <v>861.1</v>
      </c>
      <c r="J38" s="83">
        <v>95</v>
      </c>
      <c r="K38" s="81">
        <v>92.9</v>
      </c>
      <c r="L38" s="81">
        <v>52</v>
      </c>
      <c r="M38" s="82">
        <f t="shared" si="15"/>
        <v>239.9</v>
      </c>
      <c r="N38" s="82">
        <v>80</v>
      </c>
      <c r="O38" s="50">
        <f t="shared" si="16"/>
        <v>319.89999999999998</v>
      </c>
      <c r="P38" s="83">
        <v>163.1</v>
      </c>
      <c r="Q38" s="81">
        <v>228.3</v>
      </c>
      <c r="R38" s="81">
        <v>13.3</v>
      </c>
      <c r="S38" s="82">
        <f t="shared" si="17"/>
        <v>404.7</v>
      </c>
      <c r="T38" s="82"/>
      <c r="U38" s="50">
        <f t="shared" si="18"/>
        <v>404.7</v>
      </c>
      <c r="V38" s="83">
        <v>235</v>
      </c>
      <c r="W38" s="81">
        <v>106</v>
      </c>
      <c r="X38" s="81"/>
      <c r="Y38" s="82">
        <f t="shared" si="19"/>
        <v>341</v>
      </c>
      <c r="Z38" s="82">
        <v>80</v>
      </c>
      <c r="AA38" s="50">
        <f t="shared" si="20"/>
        <v>421</v>
      </c>
      <c r="AB38" s="51">
        <f t="shared" si="12"/>
        <v>1.3160362613316663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4876</v>
      </c>
      <c r="E39" s="85">
        <f>SUM(E35:E38)+SUM(E28:E32)</f>
        <v>25259.699999999997</v>
      </c>
      <c r="F39" s="85">
        <f>SUM(F35:F38)+SUM(F28:F32)</f>
        <v>2994.7</v>
      </c>
      <c r="G39" s="86">
        <f>SUM(D39:F39)</f>
        <v>33130.399999999994</v>
      </c>
      <c r="H39" s="87">
        <f>SUM(H28:H32)+SUM(H35:H38)</f>
        <v>18.899999999999999</v>
      </c>
      <c r="I39" s="88">
        <f>SUM(I35:I38)+SUM(I28:I32)</f>
        <v>33149.300000000003</v>
      </c>
      <c r="J39" s="85">
        <f>SUM(J35:J38)+SUM(J28:J32)</f>
        <v>4395</v>
      </c>
      <c r="K39" s="85">
        <f>SUM(K35:K38)+SUM(K28:K32)</f>
        <v>27595.8</v>
      </c>
      <c r="L39" s="85">
        <f>SUM(L35:L38)+SUM(L28:L32)</f>
        <v>2478</v>
      </c>
      <c r="M39" s="86">
        <f>SUM(J39:L39)</f>
        <v>34468.800000000003</v>
      </c>
      <c r="N39" s="87">
        <f>SUM(N28:N32)+SUM(N35:N38)</f>
        <v>100</v>
      </c>
      <c r="O39" s="88">
        <f>SUM(O35:O38)+SUM(O28:O32)</f>
        <v>34568.799999999996</v>
      </c>
      <c r="P39" s="85">
        <f>SUM(P35:P38)+SUM(P28:P32)</f>
        <v>2674.3</v>
      </c>
      <c r="Q39" s="85">
        <f>SUM(Q35:Q38)+SUM(Q28:Q32)</f>
        <v>13287.2</v>
      </c>
      <c r="R39" s="85">
        <f>SUM(R35:R38)+SUM(R28:R32)</f>
        <v>2363.3000000000002</v>
      </c>
      <c r="S39" s="86">
        <f>SUM(P39:R39)</f>
        <v>18324.8</v>
      </c>
      <c r="T39" s="87">
        <f>SUM(T28:T32)+SUM(T35:T38)</f>
        <v>11.5</v>
      </c>
      <c r="U39" s="88">
        <f>SUM(U35:U38)+SUM(U28:U32)</f>
        <v>18336.3</v>
      </c>
      <c r="V39" s="85">
        <f>SUM(V35:V38)+SUM(V28:V32)</f>
        <v>4930</v>
      </c>
      <c r="W39" s="85">
        <f>SUM(W35:W38)+SUM(W28:W32)</f>
        <v>27600</v>
      </c>
      <c r="X39" s="85">
        <f>SUM(X35:X38)+SUM(X28:X32)</f>
        <v>3000</v>
      </c>
      <c r="Y39" s="86">
        <f>SUM(V39:X39)</f>
        <v>35530</v>
      </c>
      <c r="Z39" s="87">
        <f>SUM(Z28:Z32)+SUM(Z35:Z38)</f>
        <v>100</v>
      </c>
      <c r="AA39" s="88">
        <f>SUM(AA35:AA38)+SUM(AA28:AA32)</f>
        <v>35630</v>
      </c>
      <c r="AB39" s="89">
        <f t="shared" si="12"/>
        <v>1.0306982018467521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0</v>
      </c>
      <c r="E40" s="92">
        <f t="shared" si="21"/>
        <v>0</v>
      </c>
      <c r="F40" s="92">
        <f t="shared" si="21"/>
        <v>47.100000000000364</v>
      </c>
      <c r="G40" s="93">
        <f t="shared" si="21"/>
        <v>47.100000000005821</v>
      </c>
      <c r="H40" s="93">
        <f t="shared" si="21"/>
        <v>80.900000000000006</v>
      </c>
      <c r="I40" s="94">
        <f t="shared" si="21"/>
        <v>128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185</v>
      </c>
      <c r="Q40" s="92">
        <f t="shared" si="21"/>
        <v>777.59999999999854</v>
      </c>
      <c r="R40" s="92">
        <f t="shared" si="21"/>
        <v>72.399999999999636</v>
      </c>
      <c r="S40" s="93">
        <f t="shared" si="21"/>
        <v>1035</v>
      </c>
      <c r="T40" s="93">
        <f t="shared" si="21"/>
        <v>58.5</v>
      </c>
      <c r="U40" s="94">
        <f t="shared" si="21"/>
        <v>1093.5000000000036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-4319</v>
      </c>
      <c r="J41" s="98"/>
      <c r="K41" s="99"/>
      <c r="L41" s="99"/>
      <c r="M41" s="100"/>
      <c r="N41" s="103"/>
      <c r="O41" s="102">
        <f>O40-J16</f>
        <v>-4395</v>
      </c>
      <c r="P41" s="98"/>
      <c r="Q41" s="99"/>
      <c r="R41" s="99"/>
      <c r="S41" s="100"/>
      <c r="T41" s="103"/>
      <c r="U41" s="102">
        <f>U40-P16</f>
        <v>-1306.4999999999964</v>
      </c>
      <c r="V41" s="98"/>
      <c r="W41" s="99"/>
      <c r="X41" s="99"/>
      <c r="Y41" s="100"/>
      <c r="Z41" s="103"/>
      <c r="AA41" s="102">
        <f>AA40-V16</f>
        <v>-4930</v>
      </c>
      <c r="AB41" s="21">
        <f t="shared" si="12"/>
        <v>1.1217292377701935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317.60000000000002</v>
      </c>
      <c r="E44" s="117">
        <v>317.60000000000002</v>
      </c>
      <c r="F44" s="118">
        <v>0</v>
      </c>
      <c r="G44" s="108"/>
      <c r="H44" s="108"/>
      <c r="I44" s="115"/>
      <c r="J44" s="116">
        <v>311.60000000000002</v>
      </c>
      <c r="K44" s="117">
        <v>311.60000000000002</v>
      </c>
      <c r="L44" s="118">
        <v>0</v>
      </c>
      <c r="M44" s="119"/>
      <c r="N44" s="119"/>
      <c r="O44" s="119"/>
      <c r="P44" s="116">
        <v>155.80000000000001</v>
      </c>
      <c r="Q44" s="117">
        <v>155.80000000000001</v>
      </c>
      <c r="R44" s="118">
        <v>0</v>
      </c>
      <c r="S44" s="3"/>
      <c r="T44" s="3"/>
      <c r="U44" s="3"/>
      <c r="V44" s="116">
        <v>646.4</v>
      </c>
      <c r="W44" s="117">
        <v>646.4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102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>
        <f>SUM(D51:D54)</f>
        <v>1239.7</v>
      </c>
      <c r="E50" s="129">
        <f t="shared" ref="E50:F50" si="22">SUM(E51:E54)</f>
        <v>1062.0999999999999</v>
      </c>
      <c r="F50" s="129">
        <f t="shared" si="22"/>
        <v>931.7</v>
      </c>
      <c r="G50" s="130">
        <f>SUM(G51:G54)</f>
        <v>1370.1</v>
      </c>
      <c r="H50" s="108"/>
      <c r="I50" s="3"/>
      <c r="J50" s="129">
        <f>SUM(J51:J54)</f>
        <v>1369.9999999999998</v>
      </c>
      <c r="K50" s="129">
        <f t="shared" ref="K50:M50" si="23">SUM(K51:K54)</f>
        <v>1124</v>
      </c>
      <c r="L50" s="129">
        <f t="shared" si="23"/>
        <v>970.2</v>
      </c>
      <c r="M50" s="129">
        <f t="shared" si="23"/>
        <v>1523.7999999999997</v>
      </c>
      <c r="N50" s="3"/>
      <c r="O50" s="3"/>
      <c r="P50" s="129">
        <f>SUM(P51:P54)</f>
        <v>1369.9999999999998</v>
      </c>
      <c r="Q50" s="129">
        <f t="shared" ref="Q50:S50" si="24">SUM(Q51:Q54)</f>
        <v>677.3</v>
      </c>
      <c r="R50" s="129">
        <f t="shared" si="24"/>
        <v>780.5</v>
      </c>
      <c r="S50" s="129">
        <f t="shared" si="24"/>
        <v>1266.8</v>
      </c>
      <c r="T50" s="3"/>
      <c r="U50" s="3"/>
      <c r="V50" s="129">
        <f>SUM(V51:V54)</f>
        <v>1337.2</v>
      </c>
      <c r="W50" s="129">
        <f>SUM(W51:W54)</f>
        <v>1431</v>
      </c>
      <c r="X50" s="129">
        <f>SUM(X51:X54)</f>
        <v>1142</v>
      </c>
      <c r="Y50" s="130">
        <f>V50+W50-X50</f>
        <v>1626.1999999999998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679.8</v>
      </c>
      <c r="E51" s="129">
        <v>62.3</v>
      </c>
      <c r="F51" s="129">
        <v>73.8</v>
      </c>
      <c r="G51" s="130">
        <f t="shared" ref="G51:G54" si="25">D51+E51-F51</f>
        <v>668.3</v>
      </c>
      <c r="H51" s="108"/>
      <c r="I51" s="3"/>
      <c r="J51" s="129">
        <v>668.2</v>
      </c>
      <c r="K51" s="129">
        <v>30</v>
      </c>
      <c r="L51" s="129">
        <v>30</v>
      </c>
      <c r="M51" s="130">
        <f t="shared" ref="M51:M54" si="26">J51+K51-L51</f>
        <v>668.2</v>
      </c>
      <c r="N51" s="3"/>
      <c r="O51" s="3"/>
      <c r="P51" s="129">
        <v>668.2</v>
      </c>
      <c r="Q51" s="129">
        <v>91</v>
      </c>
      <c r="R51" s="129">
        <v>299.89999999999998</v>
      </c>
      <c r="S51" s="130">
        <f t="shared" ref="S51:S54" si="27">P51+Q51-R51</f>
        <v>459.30000000000007</v>
      </c>
      <c r="T51" s="3"/>
      <c r="U51" s="3"/>
      <c r="V51" s="129">
        <v>459.3</v>
      </c>
      <c r="W51" s="129">
        <v>100</v>
      </c>
      <c r="X51" s="129">
        <v>100</v>
      </c>
      <c r="Y51" s="130">
        <f t="shared" ref="Y51:Y54" si="28">V51+W51-X51</f>
        <v>459.29999999999995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290</v>
      </c>
      <c r="E52" s="129">
        <v>567.20000000000005</v>
      </c>
      <c r="F52" s="129">
        <v>398.3</v>
      </c>
      <c r="G52" s="130">
        <f t="shared" si="25"/>
        <v>458.90000000000003</v>
      </c>
      <c r="H52" s="108"/>
      <c r="I52" s="3"/>
      <c r="J52" s="129">
        <v>458.9</v>
      </c>
      <c r="K52" s="129">
        <v>608.29999999999995</v>
      </c>
      <c r="L52" s="129">
        <v>411.6</v>
      </c>
      <c r="M52" s="130">
        <f t="shared" si="26"/>
        <v>655.5999999999998</v>
      </c>
      <c r="N52" s="3"/>
      <c r="O52" s="3"/>
      <c r="P52" s="129">
        <v>458.9</v>
      </c>
      <c r="Q52" s="129">
        <v>305.39999999999998</v>
      </c>
      <c r="R52" s="129">
        <v>230.6</v>
      </c>
      <c r="S52" s="130">
        <f t="shared" si="27"/>
        <v>533.69999999999993</v>
      </c>
      <c r="T52" s="3"/>
      <c r="U52" s="3"/>
      <c r="V52" s="129">
        <v>677.9</v>
      </c>
      <c r="W52" s="129">
        <v>935</v>
      </c>
      <c r="X52" s="129">
        <v>646</v>
      </c>
      <c r="Y52" s="130">
        <f t="shared" si="28"/>
        <v>966.90000000000009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150</v>
      </c>
      <c r="E53" s="129">
        <v>70</v>
      </c>
      <c r="F53" s="129">
        <v>105.7</v>
      </c>
      <c r="G53" s="130">
        <f t="shared" si="25"/>
        <v>114.3</v>
      </c>
      <c r="H53" s="108"/>
      <c r="I53" s="3"/>
      <c r="J53" s="129">
        <v>114.3</v>
      </c>
      <c r="K53" s="129">
        <v>85.7</v>
      </c>
      <c r="L53" s="129">
        <v>0</v>
      </c>
      <c r="M53" s="130">
        <f t="shared" si="26"/>
        <v>200</v>
      </c>
      <c r="N53" s="3"/>
      <c r="O53" s="3"/>
      <c r="P53" s="129">
        <v>114.3</v>
      </c>
      <c r="Q53" s="129">
        <v>85.7</v>
      </c>
      <c r="R53" s="129">
        <v>0</v>
      </c>
      <c r="S53" s="130">
        <f t="shared" si="27"/>
        <v>200</v>
      </c>
      <c r="T53" s="3"/>
      <c r="U53" s="3"/>
      <c r="V53" s="129">
        <v>200</v>
      </c>
      <c r="W53" s="129">
        <v>0</v>
      </c>
      <c r="X53" s="129">
        <v>0</v>
      </c>
      <c r="Y53" s="130">
        <f t="shared" si="28"/>
        <v>200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119.9</v>
      </c>
      <c r="E54" s="129">
        <v>362.6</v>
      </c>
      <c r="F54" s="129">
        <v>353.9</v>
      </c>
      <c r="G54" s="130">
        <f t="shared" si="25"/>
        <v>128.60000000000002</v>
      </c>
      <c r="H54" s="108"/>
      <c r="I54" s="3"/>
      <c r="J54" s="129">
        <v>128.6</v>
      </c>
      <c r="K54" s="129">
        <v>400</v>
      </c>
      <c r="L54" s="129">
        <v>528.6</v>
      </c>
      <c r="M54" s="130">
        <f t="shared" si="26"/>
        <v>0</v>
      </c>
      <c r="N54" s="3"/>
      <c r="O54" s="3"/>
      <c r="P54" s="129">
        <v>128.6</v>
      </c>
      <c r="Q54" s="129">
        <v>195.2</v>
      </c>
      <c r="R54" s="129">
        <v>250</v>
      </c>
      <c r="S54" s="130">
        <f t="shared" si="27"/>
        <v>73.799999999999955</v>
      </c>
      <c r="T54" s="3"/>
      <c r="U54" s="3"/>
      <c r="V54" s="129">
        <v>0</v>
      </c>
      <c r="W54" s="129">
        <v>396</v>
      </c>
      <c r="X54" s="129">
        <v>396</v>
      </c>
      <c r="Y54" s="130">
        <f t="shared" si="28"/>
        <v>0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46.19</v>
      </c>
      <c r="E57" s="132">
        <v>47.3</v>
      </c>
      <c r="F57" s="108"/>
      <c r="G57" s="108"/>
      <c r="H57" s="108"/>
      <c r="I57" s="115"/>
      <c r="J57" s="132">
        <v>47.5</v>
      </c>
      <c r="K57" s="108"/>
      <c r="L57" s="108"/>
      <c r="M57" s="108"/>
      <c r="N57" s="108"/>
      <c r="O57" s="115"/>
      <c r="P57" s="132">
        <v>47.5</v>
      </c>
      <c r="Q57" s="115"/>
      <c r="R57" s="115"/>
      <c r="S57" s="115"/>
      <c r="T57" s="115"/>
      <c r="U57" s="115"/>
      <c r="V57" s="132">
        <v>47.5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 t="s">
        <v>118</v>
      </c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 t="s">
        <v>119</v>
      </c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 t="s">
        <v>120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63" t="s">
        <v>121</v>
      </c>
      <c r="C64" s="164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 t="s">
        <v>122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43706</v>
      </c>
      <c r="D91" s="156" t="s">
        <v>105</v>
      </c>
      <c r="E91" s="313" t="s">
        <v>123</v>
      </c>
      <c r="F91" s="313"/>
      <c r="G91" s="313"/>
      <c r="H91" s="156"/>
      <c r="I91" s="156" t="s">
        <v>107</v>
      </c>
      <c r="J91" s="314" t="s">
        <v>124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45" priority="3" operator="equal">
      <formula>0</formula>
    </cfRule>
    <cfRule type="containsErrors" dxfId="44" priority="4">
      <formula>ISERROR(AB15)</formula>
    </cfRule>
  </conditionalFormatting>
  <conditionalFormatting sqref="AB28:AB41">
    <cfRule type="cellIs" dxfId="43" priority="1" operator="equal">
      <formula>0</formula>
    </cfRule>
    <cfRule type="containsErrors" dxfId="42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80" zoomScaleNormal="80" zoomScaleSheetLayoutView="80" workbookViewId="0">
      <selection activeCell="V39" sqref="V3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125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831476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126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1105.9000000000001</v>
      </c>
      <c r="G15" s="18">
        <f>SUM(D15:F15)</f>
        <v>1105.9000000000001</v>
      </c>
      <c r="H15" s="19">
        <v>0</v>
      </c>
      <c r="I15" s="20">
        <f>G15+H15</f>
        <v>1105.9000000000001</v>
      </c>
      <c r="J15" s="15"/>
      <c r="K15" s="16"/>
      <c r="L15" s="17">
        <v>1250</v>
      </c>
      <c r="M15" s="18">
        <f t="shared" ref="M15:M23" si="0">SUM(J15:L15)</f>
        <v>1250</v>
      </c>
      <c r="N15" s="19">
        <v>0</v>
      </c>
      <c r="O15" s="20">
        <f>M15+N15</f>
        <v>1250</v>
      </c>
      <c r="P15" s="15"/>
      <c r="Q15" s="16"/>
      <c r="R15" s="17">
        <v>666.9</v>
      </c>
      <c r="S15" s="18">
        <f>SUM(P15:R15)</f>
        <v>666.9</v>
      </c>
      <c r="T15" s="19">
        <v>40.299999999999997</v>
      </c>
      <c r="U15" s="20">
        <f>S15+T15</f>
        <v>707.19999999999993</v>
      </c>
      <c r="V15" s="15"/>
      <c r="W15" s="16"/>
      <c r="X15" s="17">
        <v>1250</v>
      </c>
      <c r="Y15" s="18">
        <f>SUM(V15:X15)</f>
        <v>1250</v>
      </c>
      <c r="Z15" s="19">
        <v>81</v>
      </c>
      <c r="AA15" s="20">
        <f>Y15+Z15</f>
        <v>1331</v>
      </c>
      <c r="AB15" s="21">
        <f>(AA15/O15)</f>
        <v>1.0648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4505.5</v>
      </c>
      <c r="E16" s="25"/>
      <c r="F16" s="25"/>
      <c r="G16" s="26">
        <f t="shared" ref="G16:G23" si="1">SUM(D16:F16)</f>
        <v>4505.5</v>
      </c>
      <c r="H16" s="27"/>
      <c r="I16" s="20">
        <f t="shared" ref="I16:I23" si="2">G16+H16</f>
        <v>4505.5</v>
      </c>
      <c r="J16" s="24">
        <v>5215</v>
      </c>
      <c r="K16" s="25"/>
      <c r="L16" s="25"/>
      <c r="M16" s="26">
        <f t="shared" si="0"/>
        <v>5215</v>
      </c>
      <c r="N16" s="27"/>
      <c r="O16" s="20">
        <f t="shared" ref="O16:O20" si="3">M16+N16</f>
        <v>5215</v>
      </c>
      <c r="P16" s="24">
        <v>2306.1</v>
      </c>
      <c r="Q16" s="25"/>
      <c r="R16" s="25"/>
      <c r="S16" s="26">
        <f t="shared" ref="S16:S23" si="4">SUM(P16:R16)</f>
        <v>2306.1</v>
      </c>
      <c r="T16" s="27"/>
      <c r="U16" s="20">
        <f t="shared" ref="U16:U20" si="5">S16+T16</f>
        <v>2306.1</v>
      </c>
      <c r="V16" s="24">
        <v>5370</v>
      </c>
      <c r="W16" s="25"/>
      <c r="X16" s="25"/>
      <c r="Y16" s="26">
        <f t="shared" ref="Y16:Y23" si="6">SUM(V16:X16)</f>
        <v>5370</v>
      </c>
      <c r="Z16" s="27"/>
      <c r="AA16" s="20">
        <f t="shared" ref="AA16:AA20" si="7">Y16+Z16</f>
        <v>5370</v>
      </c>
      <c r="AB16" s="21">
        <f t="shared" ref="AB16:AB24" si="8">(AA16/O16)</f>
        <v>1.0297219558964525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596</v>
      </c>
      <c r="E17" s="30"/>
      <c r="F17" s="30"/>
      <c r="G17" s="26">
        <f t="shared" si="1"/>
        <v>596</v>
      </c>
      <c r="H17" s="31"/>
      <c r="I17" s="20">
        <f t="shared" si="2"/>
        <v>596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177</v>
      </c>
      <c r="Q17" s="30"/>
      <c r="R17" s="30"/>
      <c r="S17" s="26">
        <f t="shared" si="4"/>
        <v>177</v>
      </c>
      <c r="T17" s="31"/>
      <c r="U17" s="20">
        <f t="shared" si="5"/>
        <v>177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27266.9</v>
      </c>
      <c r="F18" s="30"/>
      <c r="G18" s="26">
        <f t="shared" si="1"/>
        <v>27266.9</v>
      </c>
      <c r="H18" s="19"/>
      <c r="I18" s="20">
        <f t="shared" si="2"/>
        <v>27266.9</v>
      </c>
      <c r="J18" s="33"/>
      <c r="K18" s="34">
        <v>25182</v>
      </c>
      <c r="L18" s="30"/>
      <c r="M18" s="26">
        <f t="shared" si="0"/>
        <v>25182</v>
      </c>
      <c r="N18" s="19"/>
      <c r="O18" s="20">
        <f t="shared" si="3"/>
        <v>25182</v>
      </c>
      <c r="P18" s="33"/>
      <c r="Q18" s="34">
        <v>14894</v>
      </c>
      <c r="R18" s="30"/>
      <c r="S18" s="26">
        <f t="shared" si="4"/>
        <v>14894</v>
      </c>
      <c r="T18" s="19"/>
      <c r="U18" s="20">
        <f t="shared" si="5"/>
        <v>14894</v>
      </c>
      <c r="V18" s="33"/>
      <c r="W18" s="34">
        <v>28629.3</v>
      </c>
      <c r="X18" s="30"/>
      <c r="Y18" s="26">
        <f t="shared" si="6"/>
        <v>28629.3</v>
      </c>
      <c r="Z18" s="19"/>
      <c r="AA18" s="20">
        <f t="shared" si="7"/>
        <v>28629.3</v>
      </c>
      <c r="AB18" s="21">
        <f t="shared" si="8"/>
        <v>1.1368954014772457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302</v>
      </c>
      <c r="G20" s="26"/>
      <c r="H20" s="38"/>
      <c r="I20" s="20">
        <v>302</v>
      </c>
      <c r="J20" s="33"/>
      <c r="K20" s="25"/>
      <c r="L20" s="40"/>
      <c r="M20" s="26">
        <f t="shared" si="0"/>
        <v>0</v>
      </c>
      <c r="N20" s="38"/>
      <c r="O20" s="20">
        <f t="shared" si="3"/>
        <v>0</v>
      </c>
      <c r="P20" s="33"/>
      <c r="Q20" s="25"/>
      <c r="R20" s="40"/>
      <c r="S20" s="26">
        <f t="shared" si="4"/>
        <v>0</v>
      </c>
      <c r="T20" s="38"/>
      <c r="U20" s="20">
        <f t="shared" si="5"/>
        <v>0</v>
      </c>
      <c r="V20" s="33"/>
      <c r="W20" s="25"/>
      <c r="X20" s="40"/>
      <c r="Y20" s="26">
        <f t="shared" si="6"/>
        <v>0</v>
      </c>
      <c r="Z20" s="38"/>
      <c r="AA20" s="20">
        <f t="shared" si="7"/>
        <v>0</v>
      </c>
      <c r="AB20" s="21" t="e">
        <f t="shared" si="8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>
        <v>33.799999999999997</v>
      </c>
      <c r="G21" s="26">
        <f t="shared" si="1"/>
        <v>33.799999999999997</v>
      </c>
      <c r="H21" s="42">
        <v>125.1</v>
      </c>
      <c r="I21" s="20">
        <f>G21+H21</f>
        <v>158.89999999999998</v>
      </c>
      <c r="J21" s="33"/>
      <c r="K21" s="25"/>
      <c r="L21" s="40"/>
      <c r="M21" s="26">
        <f t="shared" si="0"/>
        <v>0</v>
      </c>
      <c r="N21" s="42">
        <v>120</v>
      </c>
      <c r="O21" s="20">
        <f>M21+N21</f>
        <v>120</v>
      </c>
      <c r="P21" s="33"/>
      <c r="Q21" s="25"/>
      <c r="R21" s="40">
        <v>6.9</v>
      </c>
      <c r="S21" s="26">
        <f t="shared" si="4"/>
        <v>6.9</v>
      </c>
      <c r="T21" s="42">
        <v>81.5</v>
      </c>
      <c r="U21" s="20">
        <f>S21+T21</f>
        <v>88.4</v>
      </c>
      <c r="V21" s="33"/>
      <c r="W21" s="25"/>
      <c r="X21" s="40"/>
      <c r="Y21" s="26">
        <f t="shared" si="6"/>
        <v>0</v>
      </c>
      <c r="Z21" s="42">
        <v>120</v>
      </c>
      <c r="AA21" s="20">
        <f>Y21+Z21</f>
        <v>120</v>
      </c>
      <c r="AB21" s="21">
        <f t="shared" si="8"/>
        <v>1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>
        <v>125.1</v>
      </c>
      <c r="I22" s="20">
        <f t="shared" si="2"/>
        <v>125.1</v>
      </c>
      <c r="J22" s="33"/>
      <c r="K22" s="25"/>
      <c r="L22" s="40"/>
      <c r="M22" s="26">
        <f t="shared" si="0"/>
        <v>0</v>
      </c>
      <c r="N22" s="42">
        <v>120</v>
      </c>
      <c r="O22" s="20">
        <f t="shared" ref="O22:O23" si="9">M22+N22</f>
        <v>120</v>
      </c>
      <c r="P22" s="33"/>
      <c r="Q22" s="25"/>
      <c r="R22" s="40"/>
      <c r="S22" s="26">
        <f t="shared" si="4"/>
        <v>0</v>
      </c>
      <c r="T22" s="42">
        <v>81.5</v>
      </c>
      <c r="U22" s="20">
        <f t="shared" ref="U22:U23" si="10">S22+T22</f>
        <v>81.5</v>
      </c>
      <c r="V22" s="33"/>
      <c r="W22" s="25"/>
      <c r="X22" s="40"/>
      <c r="Y22" s="26">
        <f t="shared" si="6"/>
        <v>0</v>
      </c>
      <c r="Z22" s="42">
        <v>120</v>
      </c>
      <c r="AA22" s="20">
        <f t="shared" ref="AA22:AA23" si="11">Y22+Z22</f>
        <v>120</v>
      </c>
      <c r="AB22" s="21">
        <f t="shared" si="8"/>
        <v>1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5101.5</v>
      </c>
      <c r="E24" s="55">
        <f>SUM(E15:E21)</f>
        <v>27266.9</v>
      </c>
      <c r="F24" s="55">
        <f>SUM(F15:F21)</f>
        <v>1441.7</v>
      </c>
      <c r="G24" s="56">
        <f>SUM(D24:F24)</f>
        <v>33810.1</v>
      </c>
      <c r="H24" s="57">
        <f>SUM(H15:H21)</f>
        <v>125.1</v>
      </c>
      <c r="I24" s="57">
        <f>SUM(I15:I21)</f>
        <v>33935.200000000004</v>
      </c>
      <c r="J24" s="54">
        <f>SUM(J15:J21)</f>
        <v>5215</v>
      </c>
      <c r="K24" s="55">
        <f>SUM(K15:K21)</f>
        <v>25182</v>
      </c>
      <c r="L24" s="55">
        <f>SUM(L15:L21)</f>
        <v>1250</v>
      </c>
      <c r="M24" s="56">
        <f>SUM(J24:L24)</f>
        <v>31647</v>
      </c>
      <c r="N24" s="57">
        <f>SUM(N15:N21)</f>
        <v>120</v>
      </c>
      <c r="O24" s="57">
        <f>SUM(O15:O21)</f>
        <v>31767</v>
      </c>
      <c r="P24" s="54">
        <f>SUM(P15:P21)</f>
        <v>2483.1</v>
      </c>
      <c r="Q24" s="55">
        <f>SUM(Q15:Q21)</f>
        <v>14894</v>
      </c>
      <c r="R24" s="55">
        <f>SUM(R15:R21)</f>
        <v>673.8</v>
      </c>
      <c r="S24" s="56">
        <f>SUM(P24:R24)</f>
        <v>18050.899999999998</v>
      </c>
      <c r="T24" s="57">
        <f>SUM(T15:T21)</f>
        <v>121.8</v>
      </c>
      <c r="U24" s="57">
        <f>SUM(U15:U21)</f>
        <v>18172.7</v>
      </c>
      <c r="V24" s="54">
        <f>SUM(V15:V21)</f>
        <v>5370</v>
      </c>
      <c r="W24" s="55">
        <f>SUM(W15:W21)</f>
        <v>28629.3</v>
      </c>
      <c r="X24" s="55">
        <f>SUM(X15:X21)</f>
        <v>1250</v>
      </c>
      <c r="Y24" s="56">
        <f>SUM(V24:X24)</f>
        <v>35249.300000000003</v>
      </c>
      <c r="Z24" s="57">
        <f>SUM(Z15:Z21)</f>
        <v>201</v>
      </c>
      <c r="AA24" s="57">
        <f>SUM(AA15:AA21)</f>
        <v>35450.300000000003</v>
      </c>
      <c r="AB24" s="58">
        <f t="shared" si="8"/>
        <v>1.1159473667642523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420.4</v>
      </c>
      <c r="E28" s="65"/>
      <c r="F28" s="65"/>
      <c r="G28" s="66">
        <f>SUM(D28:F28)</f>
        <v>420.4</v>
      </c>
      <c r="H28" s="66"/>
      <c r="I28" s="67">
        <f>G28+H28</f>
        <v>420.4</v>
      </c>
      <c r="J28" s="65">
        <v>600</v>
      </c>
      <c r="K28" s="65"/>
      <c r="L28" s="65"/>
      <c r="M28" s="66">
        <f>SUM(J28:L28)</f>
        <v>600</v>
      </c>
      <c r="N28" s="66"/>
      <c r="O28" s="67">
        <f>M28+N28</f>
        <v>600</v>
      </c>
      <c r="P28" s="68">
        <v>143.5</v>
      </c>
      <c r="Q28" s="65"/>
      <c r="R28" s="65"/>
      <c r="S28" s="66">
        <f>SUM(P28:R28)</f>
        <v>143.5</v>
      </c>
      <c r="T28" s="66"/>
      <c r="U28" s="67">
        <f>S28+T28</f>
        <v>143.5</v>
      </c>
      <c r="V28" s="68">
        <v>600</v>
      </c>
      <c r="W28" s="65"/>
      <c r="X28" s="65"/>
      <c r="Y28" s="66">
        <f>SUM(V28:X28)</f>
        <v>600</v>
      </c>
      <c r="Z28" s="66"/>
      <c r="AA28" s="67">
        <f>Y28+Z28</f>
        <v>600</v>
      </c>
      <c r="AB28" s="21">
        <f t="shared" ref="AB28:AB41" si="12">(AA28/O28)</f>
        <v>1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628.6</v>
      </c>
      <c r="E29" s="70">
        <v>303.7</v>
      </c>
      <c r="F29" s="70">
        <v>1054</v>
      </c>
      <c r="G29" s="71">
        <f t="shared" ref="G29:G38" si="13">SUM(D29:F29)</f>
        <v>1986.3</v>
      </c>
      <c r="H29" s="72"/>
      <c r="I29" s="20">
        <f t="shared" ref="I29:I38" si="14">G29+H29</f>
        <v>1986.3</v>
      </c>
      <c r="J29" s="70">
        <v>426</v>
      </c>
      <c r="K29" s="70">
        <v>259</v>
      </c>
      <c r="L29" s="70">
        <v>1250</v>
      </c>
      <c r="M29" s="71">
        <f t="shared" ref="M29:M38" si="15">SUM(J29:L29)</f>
        <v>1935</v>
      </c>
      <c r="N29" s="72"/>
      <c r="O29" s="20">
        <f t="shared" ref="O29:O38" si="16">M29+N29</f>
        <v>1935</v>
      </c>
      <c r="P29" s="73">
        <v>177.6</v>
      </c>
      <c r="Q29" s="70">
        <v>123.9</v>
      </c>
      <c r="R29" s="70">
        <v>655.6</v>
      </c>
      <c r="S29" s="71">
        <f t="shared" ref="S29:S38" si="17">SUM(P29:R29)</f>
        <v>957.1</v>
      </c>
      <c r="T29" s="72">
        <v>33.6</v>
      </c>
      <c r="U29" s="20">
        <f t="shared" ref="U29:U38" si="18">S29+T29</f>
        <v>990.7</v>
      </c>
      <c r="V29" s="73">
        <v>420</v>
      </c>
      <c r="W29" s="70">
        <v>250</v>
      </c>
      <c r="X29" s="70">
        <v>1250</v>
      </c>
      <c r="Y29" s="71">
        <f t="shared" ref="Y29:Y38" si="19">SUM(V29:X29)</f>
        <v>1920</v>
      </c>
      <c r="Z29" s="72">
        <v>81</v>
      </c>
      <c r="AA29" s="20">
        <f t="shared" ref="AA29:AA38" si="20">Y29+Z29</f>
        <v>2001</v>
      </c>
      <c r="AB29" s="21">
        <f t="shared" si="12"/>
        <v>1.0341085271317829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1588.3</v>
      </c>
      <c r="E30" s="74"/>
      <c r="F30" s="74"/>
      <c r="G30" s="71">
        <f t="shared" si="13"/>
        <v>1588.3</v>
      </c>
      <c r="H30" s="71">
        <v>31.3</v>
      </c>
      <c r="I30" s="20">
        <f t="shared" si="14"/>
        <v>1619.6</v>
      </c>
      <c r="J30" s="74">
        <v>1830</v>
      </c>
      <c r="K30" s="74"/>
      <c r="L30" s="74" t="s">
        <v>56</v>
      </c>
      <c r="M30" s="71">
        <f t="shared" si="15"/>
        <v>1830</v>
      </c>
      <c r="N30" s="71">
        <v>120</v>
      </c>
      <c r="O30" s="20">
        <f t="shared" si="16"/>
        <v>1950</v>
      </c>
      <c r="P30" s="75">
        <v>1090.2</v>
      </c>
      <c r="Q30" s="74"/>
      <c r="R30" s="74"/>
      <c r="S30" s="71">
        <f t="shared" si="17"/>
        <v>1090.2</v>
      </c>
      <c r="T30" s="71"/>
      <c r="U30" s="20">
        <f t="shared" si="18"/>
        <v>1090.2</v>
      </c>
      <c r="V30" s="75">
        <v>1875</v>
      </c>
      <c r="W30" s="74"/>
      <c r="X30" s="74"/>
      <c r="Y30" s="71">
        <f t="shared" si="19"/>
        <v>1875</v>
      </c>
      <c r="Z30" s="71">
        <v>120</v>
      </c>
      <c r="AA30" s="20">
        <f t="shared" si="20"/>
        <v>1995</v>
      </c>
      <c r="AB30" s="21">
        <f t="shared" si="12"/>
        <v>1.023076923076923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1108.5999999999999</v>
      </c>
      <c r="E31" s="74"/>
      <c r="F31" s="74"/>
      <c r="G31" s="71">
        <f t="shared" si="13"/>
        <v>1108.5999999999999</v>
      </c>
      <c r="H31" s="71"/>
      <c r="I31" s="20">
        <f t="shared" si="14"/>
        <v>1108.5999999999999</v>
      </c>
      <c r="J31" s="74">
        <v>1200</v>
      </c>
      <c r="K31" s="74"/>
      <c r="L31" s="74"/>
      <c r="M31" s="71">
        <f t="shared" si="15"/>
        <v>1200</v>
      </c>
      <c r="N31" s="71"/>
      <c r="O31" s="20">
        <f t="shared" si="16"/>
        <v>1200</v>
      </c>
      <c r="P31" s="75">
        <v>419.1</v>
      </c>
      <c r="Q31" s="74"/>
      <c r="R31" s="74"/>
      <c r="S31" s="71">
        <f t="shared" si="17"/>
        <v>419.1</v>
      </c>
      <c r="T31" s="71"/>
      <c r="U31" s="20">
        <f t="shared" si="18"/>
        <v>419.1</v>
      </c>
      <c r="V31" s="75">
        <v>1270</v>
      </c>
      <c r="W31" s="74"/>
      <c r="X31" s="74"/>
      <c r="Y31" s="71">
        <f t="shared" si="19"/>
        <v>1270</v>
      </c>
      <c r="Z31" s="71"/>
      <c r="AA31" s="20">
        <f t="shared" si="20"/>
        <v>1270</v>
      </c>
      <c r="AB31" s="21">
        <f t="shared" si="12"/>
        <v>1.0583333333333333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430.7</v>
      </c>
      <c r="E32" s="74">
        <v>19851.900000000001</v>
      </c>
      <c r="F32" s="74"/>
      <c r="G32" s="71">
        <f t="shared" si="13"/>
        <v>20282.600000000002</v>
      </c>
      <c r="H32" s="71"/>
      <c r="I32" s="20">
        <f t="shared" si="14"/>
        <v>20282.600000000002</v>
      </c>
      <c r="J32" s="76">
        <v>166</v>
      </c>
      <c r="K32" s="74">
        <v>18269</v>
      </c>
      <c r="L32" s="74"/>
      <c r="M32" s="71">
        <f t="shared" si="15"/>
        <v>18435</v>
      </c>
      <c r="N32" s="71"/>
      <c r="O32" s="20">
        <f t="shared" si="16"/>
        <v>18435</v>
      </c>
      <c r="P32" s="77">
        <v>116.4</v>
      </c>
      <c r="Q32" s="74">
        <v>10751.4</v>
      </c>
      <c r="R32" s="74"/>
      <c r="S32" s="71">
        <f t="shared" si="17"/>
        <v>10867.8</v>
      </c>
      <c r="T32" s="71"/>
      <c r="U32" s="20">
        <f t="shared" si="18"/>
        <v>10867.8</v>
      </c>
      <c r="V32" s="77">
        <v>180</v>
      </c>
      <c r="W32" s="74">
        <v>20736.5</v>
      </c>
      <c r="X32" s="74"/>
      <c r="Y32" s="71">
        <f t="shared" si="19"/>
        <v>20916.5</v>
      </c>
      <c r="Z32" s="71"/>
      <c r="AA32" s="20">
        <f t="shared" si="20"/>
        <v>20916.5</v>
      </c>
      <c r="AB32" s="21">
        <f t="shared" si="12"/>
        <v>1.1346080824518578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430.7</v>
      </c>
      <c r="E33" s="74">
        <v>19293.7</v>
      </c>
      <c r="F33" s="74"/>
      <c r="G33" s="71">
        <f t="shared" si="13"/>
        <v>19724.400000000001</v>
      </c>
      <c r="H33" s="71"/>
      <c r="I33" s="20">
        <f t="shared" si="14"/>
        <v>19724.400000000001</v>
      </c>
      <c r="J33" s="76" t="s">
        <v>56</v>
      </c>
      <c r="K33" s="74">
        <v>18091</v>
      </c>
      <c r="L33" s="74"/>
      <c r="M33" s="71">
        <f t="shared" si="15"/>
        <v>18091</v>
      </c>
      <c r="N33" s="71"/>
      <c r="O33" s="20">
        <f t="shared" si="16"/>
        <v>18091</v>
      </c>
      <c r="P33" s="77">
        <v>62.4</v>
      </c>
      <c r="Q33" s="74">
        <v>10526.5</v>
      </c>
      <c r="R33" s="74"/>
      <c r="S33" s="71">
        <f t="shared" si="17"/>
        <v>10588.9</v>
      </c>
      <c r="T33" s="71"/>
      <c r="U33" s="20">
        <f t="shared" si="18"/>
        <v>10588.9</v>
      </c>
      <c r="V33" s="77"/>
      <c r="W33" s="74">
        <v>20566.5</v>
      </c>
      <c r="X33" s="74"/>
      <c r="Y33" s="71">
        <f t="shared" si="19"/>
        <v>20566.5</v>
      </c>
      <c r="Z33" s="71"/>
      <c r="AA33" s="20">
        <f t="shared" si="20"/>
        <v>20566.5</v>
      </c>
      <c r="AB33" s="21">
        <f t="shared" si="12"/>
        <v>1.1368359957990162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/>
      <c r="E34" s="74">
        <v>558.20000000000005</v>
      </c>
      <c r="F34" s="74"/>
      <c r="G34" s="71">
        <f t="shared" si="13"/>
        <v>558.20000000000005</v>
      </c>
      <c r="H34" s="71"/>
      <c r="I34" s="20">
        <f t="shared" si="14"/>
        <v>558.20000000000005</v>
      </c>
      <c r="J34" s="76">
        <v>166</v>
      </c>
      <c r="K34" s="74">
        <v>178</v>
      </c>
      <c r="L34" s="74"/>
      <c r="M34" s="71">
        <f>SUM(J34:L34)</f>
        <v>344</v>
      </c>
      <c r="N34" s="71"/>
      <c r="O34" s="20">
        <f t="shared" si="16"/>
        <v>344</v>
      </c>
      <c r="P34" s="77">
        <v>54</v>
      </c>
      <c r="Q34" s="74">
        <v>224.9</v>
      </c>
      <c r="R34" s="74"/>
      <c r="S34" s="71">
        <f t="shared" si="17"/>
        <v>278.89999999999998</v>
      </c>
      <c r="T34" s="71"/>
      <c r="U34" s="20">
        <f t="shared" si="18"/>
        <v>278.89999999999998</v>
      </c>
      <c r="V34" s="77">
        <v>180</v>
      </c>
      <c r="W34" s="74">
        <v>170</v>
      </c>
      <c r="X34" s="74"/>
      <c r="Y34" s="71">
        <f t="shared" si="19"/>
        <v>350</v>
      </c>
      <c r="Z34" s="71"/>
      <c r="AA34" s="20">
        <f t="shared" si="20"/>
        <v>350</v>
      </c>
      <c r="AB34" s="21">
        <f t="shared" si="12"/>
        <v>1.0174418604651163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144.30000000000001</v>
      </c>
      <c r="E35" s="74">
        <v>6580.9</v>
      </c>
      <c r="F35" s="74"/>
      <c r="G35" s="71">
        <f t="shared" si="13"/>
        <v>6725.2</v>
      </c>
      <c r="H35" s="71"/>
      <c r="I35" s="20">
        <f t="shared" si="14"/>
        <v>6725.2</v>
      </c>
      <c r="J35" s="76" t="s">
        <v>56</v>
      </c>
      <c r="K35" s="74">
        <v>6180</v>
      </c>
      <c r="L35" s="74"/>
      <c r="M35" s="71">
        <f t="shared" si="15"/>
        <v>6180</v>
      </c>
      <c r="N35" s="71"/>
      <c r="O35" s="20">
        <f t="shared" si="16"/>
        <v>6180</v>
      </c>
      <c r="P35" s="77">
        <v>25.3</v>
      </c>
      <c r="Q35" s="74">
        <v>3570.4</v>
      </c>
      <c r="R35" s="74"/>
      <c r="S35" s="71">
        <f t="shared" si="17"/>
        <v>3595.7000000000003</v>
      </c>
      <c r="T35" s="71"/>
      <c r="U35" s="20">
        <f t="shared" si="18"/>
        <v>3595.7000000000003</v>
      </c>
      <c r="V35" s="77"/>
      <c r="W35" s="74">
        <v>7362.8</v>
      </c>
      <c r="X35" s="74"/>
      <c r="Y35" s="71">
        <f t="shared" si="19"/>
        <v>7362.8</v>
      </c>
      <c r="Z35" s="71"/>
      <c r="AA35" s="20">
        <f t="shared" si="20"/>
        <v>7362.8</v>
      </c>
      <c r="AB35" s="21">
        <f t="shared" si="12"/>
        <v>1.1913915857605177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/>
      <c r="G36" s="71">
        <f t="shared" si="13"/>
        <v>0</v>
      </c>
      <c r="H36" s="71"/>
      <c r="I36" s="20">
        <f t="shared" si="14"/>
        <v>0</v>
      </c>
      <c r="J36" s="74" t="s">
        <v>56</v>
      </c>
      <c r="K36" s="74"/>
      <c r="L36" s="74"/>
      <c r="M36" s="71">
        <f t="shared" si="15"/>
        <v>0</v>
      </c>
      <c r="N36" s="71"/>
      <c r="O36" s="20">
        <f t="shared" si="16"/>
        <v>0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75"/>
      <c r="W36" s="74"/>
      <c r="X36" s="74"/>
      <c r="Y36" s="71">
        <f t="shared" si="19"/>
        <v>0</v>
      </c>
      <c r="Z36" s="71"/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1144.5</v>
      </c>
      <c r="E37" s="74"/>
      <c r="F37" s="74"/>
      <c r="G37" s="71">
        <f t="shared" si="13"/>
        <v>1144.5</v>
      </c>
      <c r="H37" s="71"/>
      <c r="I37" s="20">
        <f t="shared" si="14"/>
        <v>1144.5</v>
      </c>
      <c r="J37" s="74">
        <v>758</v>
      </c>
      <c r="K37" s="74"/>
      <c r="L37" s="74"/>
      <c r="M37" s="71">
        <f t="shared" si="15"/>
        <v>758</v>
      </c>
      <c r="N37" s="71"/>
      <c r="O37" s="20">
        <f t="shared" si="16"/>
        <v>758</v>
      </c>
      <c r="P37" s="75">
        <v>355.4</v>
      </c>
      <c r="Q37" s="74"/>
      <c r="R37" s="74"/>
      <c r="S37" s="71">
        <f t="shared" si="17"/>
        <v>355.4</v>
      </c>
      <c r="T37" s="71"/>
      <c r="U37" s="20">
        <f t="shared" si="18"/>
        <v>355.4</v>
      </c>
      <c r="V37" s="75">
        <v>770.4</v>
      </c>
      <c r="W37" s="74"/>
      <c r="X37" s="74"/>
      <c r="Y37" s="71">
        <f t="shared" si="19"/>
        <v>770.4</v>
      </c>
      <c r="Z37" s="71"/>
      <c r="AA37" s="20">
        <f t="shared" si="20"/>
        <v>770.4</v>
      </c>
      <c r="AB37" s="21">
        <f t="shared" si="12"/>
        <v>1.0163588390501319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83.9</v>
      </c>
      <c r="E38" s="81">
        <v>530.4</v>
      </c>
      <c r="F38" s="81"/>
      <c r="G38" s="71">
        <f t="shared" si="13"/>
        <v>614.29999999999995</v>
      </c>
      <c r="H38" s="82"/>
      <c r="I38" s="50">
        <f t="shared" si="14"/>
        <v>614.29999999999995</v>
      </c>
      <c r="J38" s="81">
        <v>235</v>
      </c>
      <c r="K38" s="81">
        <v>474</v>
      </c>
      <c r="L38" s="81"/>
      <c r="M38" s="82">
        <f t="shared" si="15"/>
        <v>709</v>
      </c>
      <c r="N38" s="82"/>
      <c r="O38" s="50">
        <f t="shared" si="16"/>
        <v>709</v>
      </c>
      <c r="P38" s="83">
        <v>155.6</v>
      </c>
      <c r="Q38" s="81">
        <v>435.8</v>
      </c>
      <c r="R38" s="81"/>
      <c r="S38" s="82">
        <f t="shared" si="17"/>
        <v>591.4</v>
      </c>
      <c r="T38" s="82"/>
      <c r="U38" s="50">
        <f t="shared" si="18"/>
        <v>591.4</v>
      </c>
      <c r="V38" s="83">
        <v>254.6</v>
      </c>
      <c r="W38" s="81">
        <v>280</v>
      </c>
      <c r="X38" s="81"/>
      <c r="Y38" s="82">
        <f t="shared" si="19"/>
        <v>534.6</v>
      </c>
      <c r="Z38" s="82"/>
      <c r="AA38" s="50">
        <f t="shared" si="20"/>
        <v>534.6</v>
      </c>
      <c r="AB38" s="51">
        <f t="shared" si="12"/>
        <v>0.75401974612129763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5549.3</v>
      </c>
      <c r="E39" s="85">
        <f>SUM(E35:E38)+SUM(E28:E32)</f>
        <v>27266.9</v>
      </c>
      <c r="F39" s="85">
        <f>SUM(F35:F38)+SUM(F28:F32)</f>
        <v>1054</v>
      </c>
      <c r="G39" s="86">
        <f>SUM(D39:F39)</f>
        <v>33870.200000000004</v>
      </c>
      <c r="H39" s="87">
        <f>SUM(H28:H32)+SUM(H35:H38)</f>
        <v>31.3</v>
      </c>
      <c r="I39" s="88">
        <f>SUM(I35:I38)+SUM(I28:I32)</f>
        <v>33901.5</v>
      </c>
      <c r="J39" s="85">
        <f>SUM(J35:J38)+SUM(J28:J32)</f>
        <v>5215</v>
      </c>
      <c r="K39" s="85">
        <f>SUM(K35:K38)+SUM(K28:K32)</f>
        <v>25182</v>
      </c>
      <c r="L39" s="85">
        <f>SUM(L35:L38)+SUM(L28:L32)</f>
        <v>1250</v>
      </c>
      <c r="M39" s="86">
        <f>SUM(J39:L39)</f>
        <v>31647</v>
      </c>
      <c r="N39" s="87">
        <f>SUM(N28:N32)+SUM(N35:N38)</f>
        <v>120</v>
      </c>
      <c r="O39" s="88">
        <f>SUM(O35:O38)+SUM(O28:O32)</f>
        <v>31767</v>
      </c>
      <c r="P39" s="85">
        <f>SUM(P35:P38)+SUM(P28:P32)</f>
        <v>2483.1000000000004</v>
      </c>
      <c r="Q39" s="85">
        <f>SUM(Q35:Q38)+SUM(Q28:Q32)</f>
        <v>14881.5</v>
      </c>
      <c r="R39" s="85">
        <f>SUM(R35:R38)+SUM(R28:R32)</f>
        <v>655.6</v>
      </c>
      <c r="S39" s="86">
        <f>SUM(P39:R39)</f>
        <v>18020.199999999997</v>
      </c>
      <c r="T39" s="87">
        <f>SUM(T28:T32)+SUM(T35:T38)</f>
        <v>33.6</v>
      </c>
      <c r="U39" s="88">
        <f>SUM(U35:U38)+SUM(U28:U32)</f>
        <v>18053.8</v>
      </c>
      <c r="V39" s="85">
        <f>SUM(V35:V38)+SUM(V28:V32)</f>
        <v>5370</v>
      </c>
      <c r="W39" s="85">
        <f>SUM(W35:W38)+SUM(W28:W32)</f>
        <v>28629.3</v>
      </c>
      <c r="X39" s="85">
        <f>SUM(X35:X38)+SUM(X28:X32)</f>
        <v>1250</v>
      </c>
      <c r="Y39" s="86">
        <f>SUM(V39:X39)</f>
        <v>35249.300000000003</v>
      </c>
      <c r="Z39" s="87">
        <f>SUM(Z28:Z32)+SUM(Z35:Z38)</f>
        <v>201</v>
      </c>
      <c r="AA39" s="88">
        <f>SUM(AA35:AA38)+SUM(AA28:AA32)</f>
        <v>35450.300000000003</v>
      </c>
      <c r="AB39" s="89">
        <f t="shared" si="12"/>
        <v>1.1159473667642523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-447.80000000000018</v>
      </c>
      <c r="E40" s="92">
        <f t="shared" si="21"/>
        <v>0</v>
      </c>
      <c r="F40" s="92">
        <f t="shared" si="21"/>
        <v>387.70000000000005</v>
      </c>
      <c r="G40" s="93">
        <f t="shared" si="21"/>
        <v>-60.100000000005821</v>
      </c>
      <c r="H40" s="93">
        <f t="shared" si="21"/>
        <v>93.8</v>
      </c>
      <c r="I40" s="94">
        <f t="shared" si="21"/>
        <v>33.700000000004366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0</v>
      </c>
      <c r="Q40" s="92">
        <f t="shared" si="21"/>
        <v>12.5</v>
      </c>
      <c r="R40" s="92">
        <f t="shared" si="21"/>
        <v>18.199999999999932</v>
      </c>
      <c r="S40" s="93">
        <f t="shared" si="21"/>
        <v>30.700000000000728</v>
      </c>
      <c r="T40" s="93">
        <f t="shared" si="21"/>
        <v>88.199999999999989</v>
      </c>
      <c r="U40" s="94">
        <f t="shared" si="21"/>
        <v>118.90000000000146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-4471.7999999999956</v>
      </c>
      <c r="J41" s="98"/>
      <c r="K41" s="99"/>
      <c r="L41" s="99"/>
      <c r="M41" s="100"/>
      <c r="N41" s="103"/>
      <c r="O41" s="102">
        <f>O40-J16</f>
        <v>-5215</v>
      </c>
      <c r="P41" s="98"/>
      <c r="Q41" s="99"/>
      <c r="R41" s="99"/>
      <c r="S41" s="100"/>
      <c r="T41" s="103"/>
      <c r="U41" s="102">
        <f>U40-P16</f>
        <v>-2187.1999999999985</v>
      </c>
      <c r="V41" s="98"/>
      <c r="W41" s="99"/>
      <c r="X41" s="99"/>
      <c r="Y41" s="100"/>
      <c r="Z41" s="103"/>
      <c r="AA41" s="102">
        <f>AA40-V16</f>
        <v>-5370</v>
      </c>
      <c r="AB41" s="21">
        <f t="shared" si="12"/>
        <v>1.0297219558964525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673</v>
      </c>
      <c r="E44" s="117">
        <v>673</v>
      </c>
      <c r="F44" s="118">
        <v>0</v>
      </c>
      <c r="G44" s="108"/>
      <c r="H44" s="108"/>
      <c r="I44" s="115"/>
      <c r="J44" s="116">
        <v>673</v>
      </c>
      <c r="K44" s="117">
        <v>673</v>
      </c>
      <c r="L44" s="118">
        <v>0</v>
      </c>
      <c r="M44" s="119"/>
      <c r="N44" s="119"/>
      <c r="O44" s="119"/>
      <c r="P44" s="116">
        <v>673</v>
      </c>
      <c r="Q44" s="117">
        <v>673</v>
      </c>
      <c r="R44" s="118">
        <v>0</v>
      </c>
      <c r="S44" s="3"/>
      <c r="T44" s="3"/>
      <c r="U44" s="3"/>
      <c r="V44" s="116">
        <v>673</v>
      </c>
      <c r="W44" s="117">
        <v>673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820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>
        <f t="shared" ref="D50:G50" si="22">SUM(D51:D54)</f>
        <v>2368.8000000000002</v>
      </c>
      <c r="E50" s="129">
        <f t="shared" si="22"/>
        <v>2091</v>
      </c>
      <c r="F50" s="129">
        <f t="shared" si="22"/>
        <v>642.6</v>
      </c>
      <c r="G50" s="129">
        <f t="shared" si="22"/>
        <v>3817.2000000000003</v>
      </c>
      <c r="H50" s="108"/>
      <c r="I50" s="3"/>
      <c r="J50" s="129">
        <f>SUM(J51:J54)</f>
        <v>1036.5</v>
      </c>
      <c r="K50" s="129">
        <f t="shared" ref="K50:L50" si="23">SUM(K51:K54)</f>
        <v>1220</v>
      </c>
      <c r="L50" s="129">
        <f t="shared" si="23"/>
        <v>1250</v>
      </c>
      <c r="M50" s="130">
        <f>J50+K50-L50</f>
        <v>1006.5</v>
      </c>
      <c r="N50" s="3"/>
      <c r="O50" s="3"/>
      <c r="P50" s="129">
        <f>SUM(P51:P54)</f>
        <v>3817.2000000000003</v>
      </c>
      <c r="Q50" s="129">
        <f t="shared" ref="Q50:R50" si="24">SUM(Q51:Q54)</f>
        <v>543.79999999999995</v>
      </c>
      <c r="R50" s="129">
        <f t="shared" si="24"/>
        <v>1948.2999999999997</v>
      </c>
      <c r="S50" s="130">
        <f>P50+Q50-R50</f>
        <v>2412.7000000000003</v>
      </c>
      <c r="T50" s="3"/>
      <c r="U50" s="3"/>
      <c r="V50" s="129">
        <f>SUM(V51:V54)</f>
        <v>2412.6999999999998</v>
      </c>
      <c r="W50" s="129">
        <f t="shared" ref="W50:X50" si="25">SUM(W51:W54)</f>
        <v>553.29999999999995</v>
      </c>
      <c r="X50" s="129">
        <f t="shared" si="25"/>
        <v>2108.6999999999998</v>
      </c>
      <c r="Y50" s="130">
        <f>V50+W50-X50</f>
        <v>857.30000000000018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1119.4000000000001</v>
      </c>
      <c r="E51" s="129">
        <v>1708.6</v>
      </c>
      <c r="F51" s="129">
        <v>205.7</v>
      </c>
      <c r="G51" s="130">
        <f t="shared" ref="G51:G54" si="26">D51+E51-F51</f>
        <v>2622.3</v>
      </c>
      <c r="H51" s="108"/>
      <c r="I51" s="3"/>
      <c r="J51" s="129">
        <v>56.2</v>
      </c>
      <c r="K51" s="129">
        <v>30</v>
      </c>
      <c r="L51" s="129">
        <v>80</v>
      </c>
      <c r="M51" s="130">
        <f t="shared" ref="M51:M54" si="27">J51+K51-L51</f>
        <v>6.2000000000000028</v>
      </c>
      <c r="N51" s="3"/>
      <c r="O51" s="3"/>
      <c r="P51" s="129">
        <v>2622.3</v>
      </c>
      <c r="Q51" s="129">
        <v>33.799999999999997</v>
      </c>
      <c r="R51" s="129">
        <v>1168.8</v>
      </c>
      <c r="S51" s="130">
        <f t="shared" ref="S51:S54" si="28">P51+Q51-R51</f>
        <v>1487.3000000000004</v>
      </c>
      <c r="T51" s="3"/>
      <c r="U51" s="3"/>
      <c r="V51" s="129">
        <v>1487.3</v>
      </c>
      <c r="W51" s="129">
        <v>30</v>
      </c>
      <c r="X51" s="129">
        <v>1453.5</v>
      </c>
      <c r="Y51" s="130">
        <f t="shared" ref="Y51:Y54" si="29">V51+W51-X51</f>
        <v>63.799999999999955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650.20000000000005</v>
      </c>
      <c r="E52" s="129">
        <v>-67.8</v>
      </c>
      <c r="F52" s="129">
        <v>0</v>
      </c>
      <c r="G52" s="130">
        <f t="shared" si="26"/>
        <v>582.40000000000009</v>
      </c>
      <c r="H52" s="108"/>
      <c r="I52" s="3"/>
      <c r="J52" s="129">
        <v>686.8</v>
      </c>
      <c r="K52" s="129">
        <v>750</v>
      </c>
      <c r="L52" s="129">
        <v>700</v>
      </c>
      <c r="M52" s="130">
        <f t="shared" si="27"/>
        <v>736.8</v>
      </c>
      <c r="N52" s="3"/>
      <c r="O52" s="3"/>
      <c r="P52" s="129">
        <v>582.4</v>
      </c>
      <c r="Q52" s="129">
        <v>97.7</v>
      </c>
      <c r="R52" s="129">
        <v>298.89999999999998</v>
      </c>
      <c r="S52" s="130">
        <f t="shared" si="28"/>
        <v>381.20000000000005</v>
      </c>
      <c r="T52" s="3"/>
      <c r="U52" s="3"/>
      <c r="V52" s="129">
        <v>381.2</v>
      </c>
      <c r="W52" s="129">
        <v>99.3</v>
      </c>
      <c r="X52" s="129">
        <v>200</v>
      </c>
      <c r="Y52" s="130">
        <f t="shared" si="29"/>
        <v>280.5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306.8</v>
      </c>
      <c r="E53" s="129">
        <v>55.6</v>
      </c>
      <c r="F53" s="129">
        <v>87.3</v>
      </c>
      <c r="G53" s="130">
        <f t="shared" si="26"/>
        <v>275.10000000000002</v>
      </c>
      <c r="H53" s="108"/>
      <c r="I53" s="3"/>
      <c r="J53" s="129">
        <v>107.4</v>
      </c>
      <c r="K53" s="129">
        <v>50</v>
      </c>
      <c r="L53" s="129">
        <v>70</v>
      </c>
      <c r="M53" s="130">
        <f t="shared" si="27"/>
        <v>87.4</v>
      </c>
      <c r="N53" s="3"/>
      <c r="O53" s="3"/>
      <c r="P53" s="129">
        <v>275.10000000000002</v>
      </c>
      <c r="Q53" s="129">
        <v>0</v>
      </c>
      <c r="R53" s="129">
        <v>100</v>
      </c>
      <c r="S53" s="130">
        <f t="shared" si="28"/>
        <v>175.10000000000002</v>
      </c>
      <c r="T53" s="3"/>
      <c r="U53" s="3"/>
      <c r="V53" s="129">
        <v>175.1</v>
      </c>
      <c r="W53" s="129">
        <v>0</v>
      </c>
      <c r="X53" s="129">
        <v>50</v>
      </c>
      <c r="Y53" s="130">
        <f t="shared" si="29"/>
        <v>125.1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292.39999999999998</v>
      </c>
      <c r="E54" s="129">
        <v>394.6</v>
      </c>
      <c r="F54" s="129">
        <v>349.6</v>
      </c>
      <c r="G54" s="130">
        <f t="shared" si="26"/>
        <v>337.4</v>
      </c>
      <c r="H54" s="108"/>
      <c r="I54" s="3"/>
      <c r="J54" s="129">
        <v>186.1</v>
      </c>
      <c r="K54" s="129">
        <v>390</v>
      </c>
      <c r="L54" s="129">
        <v>400</v>
      </c>
      <c r="M54" s="130">
        <f t="shared" si="27"/>
        <v>176.10000000000002</v>
      </c>
      <c r="N54" s="3"/>
      <c r="O54" s="3"/>
      <c r="P54" s="129">
        <v>337.4</v>
      </c>
      <c r="Q54" s="129">
        <v>412.3</v>
      </c>
      <c r="R54" s="129">
        <v>380.6</v>
      </c>
      <c r="S54" s="130">
        <f t="shared" si="28"/>
        <v>369.1</v>
      </c>
      <c r="T54" s="3"/>
      <c r="U54" s="3"/>
      <c r="V54" s="129">
        <v>369.1</v>
      </c>
      <c r="W54" s="129">
        <v>424</v>
      </c>
      <c r="X54" s="129">
        <v>405.2</v>
      </c>
      <c r="Y54" s="130">
        <f t="shared" si="29"/>
        <v>387.90000000000003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49.8</v>
      </c>
      <c r="E57" s="132">
        <v>53.9</v>
      </c>
      <c r="F57" s="108"/>
      <c r="G57" s="108"/>
      <c r="H57" s="108"/>
      <c r="I57" s="115"/>
      <c r="J57" s="132">
        <v>54</v>
      </c>
      <c r="K57" s="108"/>
      <c r="L57" s="108"/>
      <c r="M57" s="108"/>
      <c r="N57" s="108"/>
      <c r="O57" s="115"/>
      <c r="P57" s="132">
        <v>54.9</v>
      </c>
      <c r="Q57" s="115"/>
      <c r="R57" s="115"/>
      <c r="S57" s="115"/>
      <c r="T57" s="115"/>
      <c r="U57" s="115"/>
      <c r="V57" s="132">
        <v>54.9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65" t="s">
        <v>127</v>
      </c>
      <c r="C60" s="166"/>
      <c r="D60" s="166"/>
      <c r="E60" s="166"/>
      <c r="F60" s="166"/>
      <c r="G60" s="166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 t="s">
        <v>128</v>
      </c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43705</v>
      </c>
      <c r="D91" s="156" t="s">
        <v>105</v>
      </c>
      <c r="E91" s="313" t="s">
        <v>129</v>
      </c>
      <c r="F91" s="313"/>
      <c r="G91" s="313"/>
      <c r="H91" s="156"/>
      <c r="I91" s="156" t="s">
        <v>107</v>
      </c>
      <c r="J91" s="314" t="s">
        <v>130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41" priority="3" operator="equal">
      <formula>0</formula>
    </cfRule>
    <cfRule type="containsErrors" dxfId="40" priority="4">
      <formula>ISERROR(AB15)</formula>
    </cfRule>
  </conditionalFormatting>
  <conditionalFormatting sqref="AB28:AB41">
    <cfRule type="cellIs" dxfId="39" priority="1" operator="equal">
      <formula>0</formula>
    </cfRule>
    <cfRule type="containsErrors" dxfId="38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topLeftCell="A10" zoomScale="80" zoomScaleNormal="80" zoomScaleSheetLayoutView="80" workbookViewId="0">
      <selection activeCell="E34" sqref="E3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131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46789723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132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">
        <v>1961</v>
      </c>
      <c r="G15" s="18">
        <f>SUM(D15:F15)</f>
        <v>1961</v>
      </c>
      <c r="H15" s="19">
        <v>0</v>
      </c>
      <c r="I15" s="20">
        <f>G15+H15</f>
        <v>1961</v>
      </c>
      <c r="J15" s="15"/>
      <c r="K15" s="16"/>
      <c r="L15" s="17">
        <v>1620</v>
      </c>
      <c r="M15" s="18">
        <f t="shared" ref="M15:M23" si="0">SUM(J15:L15)</f>
        <v>1620</v>
      </c>
      <c r="N15" s="19">
        <v>0</v>
      </c>
      <c r="O15" s="20">
        <f>M15+N15</f>
        <v>1620</v>
      </c>
      <c r="P15" s="15"/>
      <c r="Q15" s="16"/>
      <c r="R15" s="17">
        <v>1230</v>
      </c>
      <c r="S15" s="18">
        <f>SUM(P15:R15)</f>
        <v>1230</v>
      </c>
      <c r="T15" s="19">
        <v>0</v>
      </c>
      <c r="U15" s="20">
        <f>S15+T15</f>
        <v>1230</v>
      </c>
      <c r="V15" s="15"/>
      <c r="W15" s="16"/>
      <c r="X15" s="17">
        <v>2050</v>
      </c>
      <c r="Y15" s="18">
        <f>SUM(V15:X15)</f>
        <v>2050</v>
      </c>
      <c r="Z15" s="19">
        <v>0</v>
      </c>
      <c r="AA15" s="20">
        <f>Y15+Z15</f>
        <v>2050</v>
      </c>
      <c r="AB15" s="21">
        <f>(AA15/O15)</f>
        <v>1.2654320987654322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5283</v>
      </c>
      <c r="E16" s="25"/>
      <c r="F16" s="25"/>
      <c r="G16" s="26">
        <f t="shared" ref="G16:G23" si="1">SUM(D16:F16)</f>
        <v>5283</v>
      </c>
      <c r="H16" s="27"/>
      <c r="I16" s="20">
        <f t="shared" ref="I16:I23" si="2">G16+H16</f>
        <v>5283</v>
      </c>
      <c r="J16" s="24">
        <v>5283</v>
      </c>
      <c r="K16" s="25"/>
      <c r="L16" s="25"/>
      <c r="M16" s="26">
        <f t="shared" si="0"/>
        <v>5283</v>
      </c>
      <c r="N16" s="27"/>
      <c r="O16" s="20">
        <f t="shared" ref="O16:O20" si="3">M16+N16</f>
        <v>5283</v>
      </c>
      <c r="P16" s="24">
        <v>2915</v>
      </c>
      <c r="Q16" s="25"/>
      <c r="R16" s="25"/>
      <c r="S16" s="26">
        <f t="shared" ref="S16:S23" si="4">SUM(P16:R16)</f>
        <v>2915</v>
      </c>
      <c r="T16" s="27"/>
      <c r="U16" s="20">
        <f t="shared" ref="U16:U20" si="5">S16+T16</f>
        <v>2915</v>
      </c>
      <c r="V16" s="24">
        <v>5725</v>
      </c>
      <c r="W16" s="25"/>
      <c r="X16" s="25"/>
      <c r="Y16" s="26">
        <f t="shared" ref="Y16:Y23" si="6">SUM(V16:X16)</f>
        <v>5725</v>
      </c>
      <c r="Z16" s="27"/>
      <c r="AA16" s="20">
        <f t="shared" ref="AA16:AA20" si="7">Y16+Z16</f>
        <v>5725</v>
      </c>
      <c r="AB16" s="21">
        <f t="shared" ref="AB16:AB24" si="8">(AA16/O16)</f>
        <v>1.0836645845163733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437</v>
      </c>
      <c r="E17" s="30"/>
      <c r="F17" s="30"/>
      <c r="G17" s="26">
        <f t="shared" si="1"/>
        <v>437</v>
      </c>
      <c r="H17" s="31"/>
      <c r="I17" s="20">
        <f t="shared" si="2"/>
        <v>437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200</v>
      </c>
      <c r="Q17" s="30"/>
      <c r="R17" s="30"/>
      <c r="S17" s="26">
        <f t="shared" si="4"/>
        <v>200</v>
      </c>
      <c r="T17" s="31"/>
      <c r="U17" s="20">
        <f t="shared" si="5"/>
        <v>200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28110</v>
      </c>
      <c r="F18" s="30"/>
      <c r="G18" s="26">
        <f t="shared" si="1"/>
        <v>28110</v>
      </c>
      <c r="H18" s="19"/>
      <c r="I18" s="20">
        <f t="shared" si="2"/>
        <v>28110</v>
      </c>
      <c r="J18" s="33"/>
      <c r="K18" s="34">
        <v>24182</v>
      </c>
      <c r="L18" s="30"/>
      <c r="M18" s="26">
        <f t="shared" si="0"/>
        <v>24182</v>
      </c>
      <c r="N18" s="19"/>
      <c r="O18" s="20">
        <f t="shared" si="3"/>
        <v>24182</v>
      </c>
      <c r="P18" s="33"/>
      <c r="Q18" s="34">
        <v>14966</v>
      </c>
      <c r="R18" s="30"/>
      <c r="S18" s="26">
        <f t="shared" si="4"/>
        <v>14966</v>
      </c>
      <c r="T18" s="19"/>
      <c r="U18" s="20">
        <f t="shared" si="5"/>
        <v>14966</v>
      </c>
      <c r="V18" s="33"/>
      <c r="W18" s="34">
        <v>30317</v>
      </c>
      <c r="X18" s="30"/>
      <c r="Y18" s="26">
        <f t="shared" si="6"/>
        <v>30317</v>
      </c>
      <c r="Z18" s="19"/>
      <c r="AA18" s="20">
        <f t="shared" si="7"/>
        <v>30317</v>
      </c>
      <c r="AB18" s="21">
        <f t="shared" si="8"/>
        <v>1.2537010999917293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40">
        <v>709</v>
      </c>
      <c r="G20" s="26">
        <f t="shared" si="1"/>
        <v>709</v>
      </c>
      <c r="H20" s="38"/>
      <c r="I20" s="20">
        <f t="shared" si="2"/>
        <v>709</v>
      </c>
      <c r="J20" s="33"/>
      <c r="K20" s="25"/>
      <c r="L20" s="40">
        <v>100</v>
      </c>
      <c r="M20" s="26">
        <f t="shared" si="0"/>
        <v>100</v>
      </c>
      <c r="N20" s="38"/>
      <c r="O20" s="20">
        <f t="shared" si="3"/>
        <v>100</v>
      </c>
      <c r="P20" s="33"/>
      <c r="Q20" s="25"/>
      <c r="R20" s="40">
        <v>257</v>
      </c>
      <c r="S20" s="26">
        <f t="shared" si="4"/>
        <v>257</v>
      </c>
      <c r="T20" s="38"/>
      <c r="U20" s="20">
        <f t="shared" si="5"/>
        <v>257</v>
      </c>
      <c r="V20" s="33"/>
      <c r="W20" s="25"/>
      <c r="X20" s="40"/>
      <c r="Y20" s="26">
        <f t="shared" si="6"/>
        <v>0</v>
      </c>
      <c r="Z20" s="38"/>
      <c r="AA20" s="20">
        <f t="shared" si="7"/>
        <v>0</v>
      </c>
      <c r="AB20" s="21">
        <f t="shared" si="8"/>
        <v>0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40"/>
      <c r="G21" s="26">
        <f t="shared" si="1"/>
        <v>0</v>
      </c>
      <c r="H21" s="42">
        <v>215</v>
      </c>
      <c r="I21" s="20">
        <f>G21+H21</f>
        <v>215</v>
      </c>
      <c r="J21" s="33"/>
      <c r="K21" s="25"/>
      <c r="L21" s="40">
        <v>15</v>
      </c>
      <c r="M21" s="26">
        <f t="shared" si="0"/>
        <v>15</v>
      </c>
      <c r="N21" s="42">
        <v>220</v>
      </c>
      <c r="O21" s="20">
        <f>M21+N21</f>
        <v>235</v>
      </c>
      <c r="P21" s="33"/>
      <c r="Q21" s="25"/>
      <c r="R21" s="40">
        <v>2</v>
      </c>
      <c r="S21" s="26">
        <f t="shared" si="4"/>
        <v>2</v>
      </c>
      <c r="T21" s="42">
        <v>114</v>
      </c>
      <c r="U21" s="20">
        <f>S21+T21</f>
        <v>116</v>
      </c>
      <c r="V21" s="33"/>
      <c r="W21" s="25"/>
      <c r="X21" s="40"/>
      <c r="Y21" s="26">
        <f t="shared" si="6"/>
        <v>0</v>
      </c>
      <c r="Z21" s="42">
        <v>210</v>
      </c>
      <c r="AA21" s="20">
        <f>Y21+Z21</f>
        <v>210</v>
      </c>
      <c r="AB21" s="21">
        <f t="shared" si="8"/>
        <v>0.8936170212765957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>
        <v>208</v>
      </c>
      <c r="I22" s="20">
        <f t="shared" si="2"/>
        <v>208</v>
      </c>
      <c r="J22" s="33"/>
      <c r="K22" s="25"/>
      <c r="L22" s="40"/>
      <c r="M22" s="26">
        <f t="shared" si="0"/>
        <v>0</v>
      </c>
      <c r="N22" s="42">
        <v>210</v>
      </c>
      <c r="O22" s="20">
        <f t="shared" ref="O22:O23" si="9">M22+N22</f>
        <v>210</v>
      </c>
      <c r="P22" s="33"/>
      <c r="Q22" s="25"/>
      <c r="R22" s="40"/>
      <c r="S22" s="26">
        <f t="shared" si="4"/>
        <v>0</v>
      </c>
      <c r="T22" s="42">
        <v>109</v>
      </c>
      <c r="U22" s="20">
        <f t="shared" ref="U22:U23" si="10">S22+T22</f>
        <v>109</v>
      </c>
      <c r="V22" s="33"/>
      <c r="W22" s="25"/>
      <c r="X22" s="40"/>
      <c r="Y22" s="26">
        <f t="shared" si="6"/>
        <v>0</v>
      </c>
      <c r="Z22" s="42">
        <v>200</v>
      </c>
      <c r="AA22" s="20">
        <f t="shared" ref="AA22:AA23" si="11">Y22+Z22</f>
        <v>200</v>
      </c>
      <c r="AB22" s="21">
        <f t="shared" si="8"/>
        <v>0.95238095238095233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5720</v>
      </c>
      <c r="E24" s="55">
        <f>SUM(E15:E21)</f>
        <v>28110</v>
      </c>
      <c r="F24" s="55">
        <f>SUM(F15:F21)</f>
        <v>2670</v>
      </c>
      <c r="G24" s="56">
        <f>SUM(D24:F24)</f>
        <v>36500</v>
      </c>
      <c r="H24" s="57">
        <f>SUM(H15:H21)</f>
        <v>215</v>
      </c>
      <c r="I24" s="57">
        <f>SUM(I15:I21)</f>
        <v>36715</v>
      </c>
      <c r="J24" s="54">
        <f>SUM(J15:J21)</f>
        <v>5283</v>
      </c>
      <c r="K24" s="55">
        <f>SUM(K15:K21)</f>
        <v>24182</v>
      </c>
      <c r="L24" s="55">
        <f>SUM(L15:L21)</f>
        <v>1735</v>
      </c>
      <c r="M24" s="56">
        <f>SUM(J24:L24)</f>
        <v>31200</v>
      </c>
      <c r="N24" s="57">
        <f>SUM(N15:N21)</f>
        <v>220</v>
      </c>
      <c r="O24" s="57">
        <f>SUM(O15:O21)</f>
        <v>31420</v>
      </c>
      <c r="P24" s="54">
        <f>SUM(P15:P21)</f>
        <v>3115</v>
      </c>
      <c r="Q24" s="55">
        <f>SUM(Q15:Q21)</f>
        <v>14966</v>
      </c>
      <c r="R24" s="55">
        <f>SUM(R15:R21)</f>
        <v>1489</v>
      </c>
      <c r="S24" s="56">
        <f>SUM(P24:R24)</f>
        <v>19570</v>
      </c>
      <c r="T24" s="57">
        <f>SUM(T15:T21)</f>
        <v>114</v>
      </c>
      <c r="U24" s="57">
        <f>SUM(U15:U21)</f>
        <v>19684</v>
      </c>
      <c r="V24" s="54">
        <f>SUM(V15:V21)</f>
        <v>5725</v>
      </c>
      <c r="W24" s="55">
        <f>SUM(W15:W21)</f>
        <v>30317</v>
      </c>
      <c r="X24" s="55">
        <f>SUM(X15:X21)</f>
        <v>2050</v>
      </c>
      <c r="Y24" s="56">
        <f>SUM(V24:X24)</f>
        <v>38092</v>
      </c>
      <c r="Z24" s="57">
        <f>SUM(Z15:Z21)</f>
        <v>210</v>
      </c>
      <c r="AA24" s="57">
        <f>SUM(AA15:AA21)</f>
        <v>38302</v>
      </c>
      <c r="AB24" s="58">
        <f t="shared" si="8"/>
        <v>1.2190324633991088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648</v>
      </c>
      <c r="E28" s="65"/>
      <c r="F28" s="65"/>
      <c r="G28" s="66">
        <f>SUM(D28:F28)</f>
        <v>648</v>
      </c>
      <c r="H28" s="66"/>
      <c r="I28" s="67">
        <f>G28+H28</f>
        <v>648</v>
      </c>
      <c r="J28" s="68">
        <v>630</v>
      </c>
      <c r="K28" s="65"/>
      <c r="L28" s="65"/>
      <c r="M28" s="66">
        <f>SUM(J28:L28)</f>
        <v>630</v>
      </c>
      <c r="N28" s="66"/>
      <c r="O28" s="67">
        <f>M28+N28</f>
        <v>630</v>
      </c>
      <c r="P28" s="68">
        <v>305</v>
      </c>
      <c r="Q28" s="65"/>
      <c r="R28" s="65"/>
      <c r="S28" s="66">
        <f>SUM(P28:R28)</f>
        <v>305</v>
      </c>
      <c r="T28" s="66"/>
      <c r="U28" s="67">
        <f>S28+T28</f>
        <v>305</v>
      </c>
      <c r="V28" s="68">
        <v>550</v>
      </c>
      <c r="W28" s="65"/>
      <c r="X28" s="65"/>
      <c r="Y28" s="66">
        <f>SUM(V28:X28)</f>
        <v>550</v>
      </c>
      <c r="Z28" s="66"/>
      <c r="AA28" s="67">
        <f>Y28+Z28</f>
        <v>550</v>
      </c>
      <c r="AB28" s="21">
        <f t="shared" ref="AB28:AB41" si="12">(AA28/O28)</f>
        <v>0.87301587301587302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674</v>
      </c>
      <c r="E29" s="70">
        <v>308</v>
      </c>
      <c r="F29" s="70">
        <v>1768</v>
      </c>
      <c r="G29" s="71">
        <f t="shared" ref="G29:G38" si="13">SUM(D29:F29)</f>
        <v>2750</v>
      </c>
      <c r="H29" s="72"/>
      <c r="I29" s="20">
        <f t="shared" ref="I29:I38" si="14">G29+H29</f>
        <v>2750</v>
      </c>
      <c r="J29" s="73">
        <v>898</v>
      </c>
      <c r="K29" s="70">
        <v>381</v>
      </c>
      <c r="L29" s="70">
        <v>1420</v>
      </c>
      <c r="M29" s="71">
        <f t="shared" ref="M29:M38" si="15">SUM(J29:L29)</f>
        <v>2699</v>
      </c>
      <c r="N29" s="72">
        <v>60</v>
      </c>
      <c r="O29" s="20">
        <f t="shared" ref="O29:O38" si="16">M29+N29</f>
        <v>2759</v>
      </c>
      <c r="P29" s="73">
        <v>312</v>
      </c>
      <c r="Q29" s="70">
        <v>126</v>
      </c>
      <c r="R29" s="70">
        <v>1124</v>
      </c>
      <c r="S29" s="71">
        <f t="shared" ref="S29:S38" si="17">SUM(P29:R29)</f>
        <v>1562</v>
      </c>
      <c r="T29" s="72"/>
      <c r="U29" s="20">
        <f t="shared" ref="U29:U38" si="18">S29+T29</f>
        <v>1562</v>
      </c>
      <c r="V29" s="73">
        <v>680</v>
      </c>
      <c r="W29" s="70">
        <v>388</v>
      </c>
      <c r="X29" s="70">
        <v>1850</v>
      </c>
      <c r="Y29" s="71">
        <f t="shared" ref="Y29:Y38" si="19">SUM(V29:X29)</f>
        <v>2918</v>
      </c>
      <c r="Z29" s="72"/>
      <c r="AA29" s="20">
        <f t="shared" ref="AA29:AA38" si="20">Y29+Z29</f>
        <v>2918</v>
      </c>
      <c r="AB29" s="21">
        <f t="shared" si="12"/>
        <v>1.0576295759333092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2596</v>
      </c>
      <c r="E30" s="74"/>
      <c r="F30" s="74" t="s">
        <v>56</v>
      </c>
      <c r="G30" s="71">
        <f t="shared" si="13"/>
        <v>2596</v>
      </c>
      <c r="H30" s="71">
        <v>61</v>
      </c>
      <c r="I30" s="20">
        <f t="shared" si="14"/>
        <v>2657</v>
      </c>
      <c r="J30" s="75">
        <v>2628</v>
      </c>
      <c r="K30" s="74"/>
      <c r="L30" s="74"/>
      <c r="M30" s="71">
        <f t="shared" si="15"/>
        <v>2628</v>
      </c>
      <c r="N30" s="71"/>
      <c r="O30" s="20">
        <f t="shared" si="16"/>
        <v>2628</v>
      </c>
      <c r="P30" s="75">
        <v>1530</v>
      </c>
      <c r="Q30" s="74"/>
      <c r="R30" s="74">
        <v>255</v>
      </c>
      <c r="S30" s="71">
        <f t="shared" si="17"/>
        <v>1785</v>
      </c>
      <c r="T30" s="71">
        <v>25</v>
      </c>
      <c r="U30" s="20">
        <f t="shared" si="18"/>
        <v>1810</v>
      </c>
      <c r="V30" s="75">
        <v>3235</v>
      </c>
      <c r="W30" s="74"/>
      <c r="X30" s="74"/>
      <c r="Y30" s="71">
        <f t="shared" si="19"/>
        <v>3235</v>
      </c>
      <c r="Z30" s="71">
        <v>60</v>
      </c>
      <c r="AA30" s="20">
        <f t="shared" si="20"/>
        <v>3295</v>
      </c>
      <c r="AB30" s="21">
        <f t="shared" si="12"/>
        <v>1.2538051750380517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907</v>
      </c>
      <c r="E31" s="74">
        <v>102</v>
      </c>
      <c r="F31" s="74"/>
      <c r="G31" s="71">
        <f t="shared" si="13"/>
        <v>1009</v>
      </c>
      <c r="H31" s="71"/>
      <c r="I31" s="20">
        <f t="shared" si="14"/>
        <v>1009</v>
      </c>
      <c r="J31" s="75">
        <v>720</v>
      </c>
      <c r="K31" s="74">
        <v>50</v>
      </c>
      <c r="L31" s="74"/>
      <c r="M31" s="71">
        <f t="shared" si="15"/>
        <v>770</v>
      </c>
      <c r="N31" s="71"/>
      <c r="O31" s="20">
        <f t="shared" si="16"/>
        <v>770</v>
      </c>
      <c r="P31" s="75">
        <v>434</v>
      </c>
      <c r="Q31" s="74">
        <v>189</v>
      </c>
      <c r="R31" s="74"/>
      <c r="S31" s="71">
        <f t="shared" si="17"/>
        <v>623</v>
      </c>
      <c r="T31" s="71"/>
      <c r="U31" s="20">
        <f t="shared" si="18"/>
        <v>623</v>
      </c>
      <c r="V31" s="75">
        <v>720</v>
      </c>
      <c r="W31" s="74"/>
      <c r="X31" s="74"/>
      <c r="Y31" s="71">
        <f t="shared" si="19"/>
        <v>720</v>
      </c>
      <c r="Z31" s="71"/>
      <c r="AA31" s="20">
        <f t="shared" si="20"/>
        <v>720</v>
      </c>
      <c r="AB31" s="21">
        <f t="shared" si="12"/>
        <v>0.93506493506493504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167">
        <v>340</v>
      </c>
      <c r="E32" s="74">
        <v>20066</v>
      </c>
      <c r="F32" s="74"/>
      <c r="G32" s="71">
        <f t="shared" si="13"/>
        <v>20406</v>
      </c>
      <c r="H32" s="71"/>
      <c r="I32" s="20">
        <f t="shared" si="14"/>
        <v>20406</v>
      </c>
      <c r="J32" s="77"/>
      <c r="K32" s="74">
        <v>17411</v>
      </c>
      <c r="L32" s="74"/>
      <c r="M32" s="71">
        <f t="shared" si="15"/>
        <v>17411</v>
      </c>
      <c r="N32" s="71"/>
      <c r="O32" s="20">
        <f t="shared" si="16"/>
        <v>17411</v>
      </c>
      <c r="P32" s="77">
        <v>108</v>
      </c>
      <c r="Q32" s="74">
        <v>10676</v>
      </c>
      <c r="R32" s="74"/>
      <c r="S32" s="71">
        <f t="shared" si="17"/>
        <v>10784</v>
      </c>
      <c r="T32" s="71"/>
      <c r="U32" s="20">
        <f t="shared" si="18"/>
        <v>10784</v>
      </c>
      <c r="V32" s="77"/>
      <c r="W32" s="74">
        <f>SUM(W33:W34)</f>
        <v>21851</v>
      </c>
      <c r="X32" s="74"/>
      <c r="Y32" s="71">
        <f t="shared" si="19"/>
        <v>21851</v>
      </c>
      <c r="Z32" s="71"/>
      <c r="AA32" s="20">
        <f t="shared" si="20"/>
        <v>21851</v>
      </c>
      <c r="AB32" s="21">
        <f t="shared" si="12"/>
        <v>1.2550111998162081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167">
        <v>20283</v>
      </c>
      <c r="E33" s="74">
        <v>0</v>
      </c>
      <c r="F33" s="74"/>
      <c r="G33" s="71">
        <f t="shared" si="13"/>
        <v>20283</v>
      </c>
      <c r="H33" s="71"/>
      <c r="I33" s="20">
        <f t="shared" si="14"/>
        <v>20283</v>
      </c>
      <c r="J33" s="77"/>
      <c r="K33" s="74">
        <v>17371</v>
      </c>
      <c r="L33" s="74"/>
      <c r="M33" s="71">
        <f t="shared" si="15"/>
        <v>17371</v>
      </c>
      <c r="N33" s="71"/>
      <c r="O33" s="20">
        <f t="shared" si="16"/>
        <v>17371</v>
      </c>
      <c r="P33" s="77">
        <v>108</v>
      </c>
      <c r="Q33" s="74">
        <v>10583</v>
      </c>
      <c r="R33" s="74"/>
      <c r="S33" s="71">
        <f t="shared" si="17"/>
        <v>10691</v>
      </c>
      <c r="T33" s="71"/>
      <c r="U33" s="20">
        <f t="shared" si="18"/>
        <v>10691</v>
      </c>
      <c r="V33" s="77"/>
      <c r="W33" s="74">
        <v>21806</v>
      </c>
      <c r="X33" s="74"/>
      <c r="Y33" s="71">
        <f t="shared" si="19"/>
        <v>21806</v>
      </c>
      <c r="Z33" s="71"/>
      <c r="AA33" s="20">
        <f t="shared" si="20"/>
        <v>21806</v>
      </c>
      <c r="AB33" s="21">
        <f t="shared" si="12"/>
        <v>1.2553105750964251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167">
        <v>123</v>
      </c>
      <c r="E34" s="74">
        <v>123</v>
      </c>
      <c r="F34" s="74"/>
      <c r="G34" s="71">
        <f t="shared" si="13"/>
        <v>246</v>
      </c>
      <c r="H34" s="71"/>
      <c r="I34" s="20">
        <f t="shared" si="14"/>
        <v>246</v>
      </c>
      <c r="J34" s="77"/>
      <c r="K34" s="74">
        <v>40</v>
      </c>
      <c r="L34" s="74"/>
      <c r="M34" s="71">
        <f>SUM(J34:L34)</f>
        <v>40</v>
      </c>
      <c r="N34" s="71"/>
      <c r="O34" s="20">
        <f t="shared" si="16"/>
        <v>40</v>
      </c>
      <c r="P34" s="77">
        <v>0</v>
      </c>
      <c r="Q34" s="74">
        <v>93</v>
      </c>
      <c r="R34" s="74"/>
      <c r="S34" s="71">
        <f t="shared" si="17"/>
        <v>93</v>
      </c>
      <c r="T34" s="71"/>
      <c r="U34" s="20">
        <f t="shared" si="18"/>
        <v>93</v>
      </c>
      <c r="V34" s="77" t="s">
        <v>56</v>
      </c>
      <c r="W34" s="74">
        <v>45</v>
      </c>
      <c r="X34" s="74"/>
      <c r="Y34" s="71">
        <f t="shared" si="19"/>
        <v>45</v>
      </c>
      <c r="Z34" s="71"/>
      <c r="AA34" s="20">
        <f t="shared" si="20"/>
        <v>45</v>
      </c>
      <c r="AB34" s="21">
        <f t="shared" si="12"/>
        <v>1.125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167">
        <v>132</v>
      </c>
      <c r="E35" s="74">
        <v>6761</v>
      </c>
      <c r="F35" s="74"/>
      <c r="G35" s="71">
        <f t="shared" si="13"/>
        <v>6893</v>
      </c>
      <c r="H35" s="71"/>
      <c r="I35" s="20">
        <f t="shared" si="14"/>
        <v>6893</v>
      </c>
      <c r="J35" s="77"/>
      <c r="K35" s="74">
        <v>5896</v>
      </c>
      <c r="L35" s="74"/>
      <c r="M35" s="71">
        <f t="shared" si="15"/>
        <v>5896</v>
      </c>
      <c r="N35" s="71"/>
      <c r="O35" s="20">
        <f t="shared" si="16"/>
        <v>5896</v>
      </c>
      <c r="P35" s="77">
        <v>37</v>
      </c>
      <c r="Q35" s="74">
        <v>3591</v>
      </c>
      <c r="R35" s="74"/>
      <c r="S35" s="71">
        <f t="shared" si="17"/>
        <v>3628</v>
      </c>
      <c r="T35" s="71"/>
      <c r="U35" s="20">
        <f t="shared" si="18"/>
        <v>3628</v>
      </c>
      <c r="V35" s="77"/>
      <c r="W35" s="74">
        <v>7429</v>
      </c>
      <c r="X35" s="74"/>
      <c r="Y35" s="71">
        <f t="shared" si="19"/>
        <v>7429</v>
      </c>
      <c r="Z35" s="71"/>
      <c r="AA35" s="20">
        <f t="shared" si="20"/>
        <v>7429</v>
      </c>
      <c r="AB35" s="21">
        <f t="shared" si="12"/>
        <v>1.2600067842605156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>
        <v>0</v>
      </c>
      <c r="E36" s="74"/>
      <c r="F36" s="74"/>
      <c r="G36" s="71">
        <f t="shared" si="13"/>
        <v>0</v>
      </c>
      <c r="H36" s="71"/>
      <c r="I36" s="20">
        <f t="shared" si="14"/>
        <v>0</v>
      </c>
      <c r="J36" s="75"/>
      <c r="K36" s="74"/>
      <c r="L36" s="74"/>
      <c r="M36" s="71">
        <f t="shared" si="15"/>
        <v>0</v>
      </c>
      <c r="N36" s="71"/>
      <c r="O36" s="20">
        <f t="shared" si="16"/>
        <v>0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75"/>
      <c r="W36" s="74"/>
      <c r="X36" s="74"/>
      <c r="Y36" s="71">
        <f t="shared" si="19"/>
        <v>0</v>
      </c>
      <c r="Z36" s="71"/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481</v>
      </c>
      <c r="E37" s="74"/>
      <c r="F37" s="74"/>
      <c r="G37" s="71">
        <f t="shared" si="13"/>
        <v>481</v>
      </c>
      <c r="H37" s="71"/>
      <c r="I37" s="20">
        <f t="shared" si="14"/>
        <v>481</v>
      </c>
      <c r="J37" s="75">
        <v>482</v>
      </c>
      <c r="K37" s="74"/>
      <c r="L37" s="74"/>
      <c r="M37" s="71">
        <f t="shared" si="15"/>
        <v>482</v>
      </c>
      <c r="N37" s="71"/>
      <c r="O37" s="20">
        <f t="shared" si="16"/>
        <v>482</v>
      </c>
      <c r="P37" s="75">
        <v>283</v>
      </c>
      <c r="Q37" s="74"/>
      <c r="R37" s="74"/>
      <c r="S37" s="71">
        <f t="shared" si="17"/>
        <v>283</v>
      </c>
      <c r="T37" s="71"/>
      <c r="U37" s="20">
        <f t="shared" si="18"/>
        <v>283</v>
      </c>
      <c r="V37" s="75">
        <v>560</v>
      </c>
      <c r="W37" s="74"/>
      <c r="X37" s="74"/>
      <c r="Y37" s="71">
        <f t="shared" si="19"/>
        <v>560</v>
      </c>
      <c r="Z37" s="71"/>
      <c r="AA37" s="20">
        <f t="shared" si="20"/>
        <v>560</v>
      </c>
      <c r="AB37" s="21">
        <f t="shared" si="12"/>
        <v>1.1618257261410789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965</v>
      </c>
      <c r="E38" s="81">
        <v>873</v>
      </c>
      <c r="F38" s="81"/>
      <c r="G38" s="71">
        <f t="shared" si="13"/>
        <v>1838</v>
      </c>
      <c r="H38" s="82">
        <v>5</v>
      </c>
      <c r="I38" s="50">
        <f t="shared" si="14"/>
        <v>1843</v>
      </c>
      <c r="J38" s="83">
        <v>125</v>
      </c>
      <c r="K38" s="81">
        <v>444</v>
      </c>
      <c r="L38" s="81">
        <v>115</v>
      </c>
      <c r="M38" s="82">
        <f t="shared" si="15"/>
        <v>684</v>
      </c>
      <c r="N38" s="82">
        <v>160</v>
      </c>
      <c r="O38" s="50">
        <f t="shared" si="16"/>
        <v>844</v>
      </c>
      <c r="P38" s="83">
        <v>295</v>
      </c>
      <c r="Q38" s="81">
        <v>384</v>
      </c>
      <c r="R38" s="81"/>
      <c r="S38" s="82">
        <f t="shared" si="17"/>
        <v>679</v>
      </c>
      <c r="T38" s="82"/>
      <c r="U38" s="50">
        <f t="shared" si="18"/>
        <v>679</v>
      </c>
      <c r="V38" s="83">
        <v>330</v>
      </c>
      <c r="W38" s="81">
        <v>649</v>
      </c>
      <c r="X38" s="81"/>
      <c r="Y38" s="82">
        <f t="shared" si="19"/>
        <v>979</v>
      </c>
      <c r="Z38" s="82"/>
      <c r="AA38" s="50">
        <f t="shared" si="20"/>
        <v>979</v>
      </c>
      <c r="AB38" s="51">
        <f t="shared" si="12"/>
        <v>1.1599526066350712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6743</v>
      </c>
      <c r="E39" s="85">
        <f>SUM(E35:E38)+SUM(E28:E32)</f>
        <v>28110</v>
      </c>
      <c r="F39" s="85">
        <f>SUM(F35:F38)+SUM(F28:F32)</f>
        <v>1768</v>
      </c>
      <c r="G39" s="86">
        <f>SUM(D39:F39)</f>
        <v>36621</v>
      </c>
      <c r="H39" s="87">
        <f>SUM(H28:H32)+SUM(H35:H38)</f>
        <v>66</v>
      </c>
      <c r="I39" s="88">
        <f>SUM(I35:I38)+SUM(I28:I32)</f>
        <v>36687</v>
      </c>
      <c r="J39" s="85">
        <f>SUM(J35:J38)+SUM(J28:J32)</f>
        <v>5483</v>
      </c>
      <c r="K39" s="85">
        <f>SUM(K35:K38)+SUM(K28:K32)</f>
        <v>24182</v>
      </c>
      <c r="L39" s="85">
        <f>SUM(L35:L38)+SUM(L28:L32)</f>
        <v>1535</v>
      </c>
      <c r="M39" s="86">
        <f>SUM(J39:L39)</f>
        <v>31200</v>
      </c>
      <c r="N39" s="87">
        <f>SUM(N28:N32)+SUM(N35:N38)</f>
        <v>220</v>
      </c>
      <c r="O39" s="88">
        <f>SUM(O35:O38)+SUM(O28:O32)</f>
        <v>31420</v>
      </c>
      <c r="P39" s="85">
        <f>SUM(P35:P38)+SUM(P28:P32)</f>
        <v>3304</v>
      </c>
      <c r="Q39" s="85">
        <f>SUM(Q35:Q38)+SUM(Q28:Q32)</f>
        <v>14966</v>
      </c>
      <c r="R39" s="85">
        <f>SUM(R35:R38)+SUM(R28:R32)</f>
        <v>1379</v>
      </c>
      <c r="S39" s="86">
        <f>SUM(P39:R39)</f>
        <v>19649</v>
      </c>
      <c r="T39" s="87">
        <f>SUM(T28:T32)+SUM(T35:T38)</f>
        <v>25</v>
      </c>
      <c r="U39" s="88">
        <f>SUM(U35:U38)+SUM(U28:U32)</f>
        <v>19674</v>
      </c>
      <c r="V39" s="85">
        <f>SUM(V35:V38)+SUM(V28:V32)</f>
        <v>6075</v>
      </c>
      <c r="W39" s="85">
        <f>SUM(W35:W38)+SUM(W28:W32)</f>
        <v>30317</v>
      </c>
      <c r="X39" s="85">
        <f>SUM(X35:X38)+SUM(X28:X32)</f>
        <v>1850</v>
      </c>
      <c r="Y39" s="86">
        <f>SUM(V39:X39)</f>
        <v>38242</v>
      </c>
      <c r="Z39" s="87">
        <f>SUM(Z28:Z32)+SUM(Z35:Z38)</f>
        <v>60</v>
      </c>
      <c r="AA39" s="88">
        <f>SUM(AA35:AA38)+SUM(AA28:AA32)</f>
        <v>38302</v>
      </c>
      <c r="AB39" s="89">
        <f t="shared" si="12"/>
        <v>1.2190324633991088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-1023</v>
      </c>
      <c r="E40" s="92">
        <f t="shared" si="21"/>
        <v>0</v>
      </c>
      <c r="F40" s="92">
        <f t="shared" si="21"/>
        <v>902</v>
      </c>
      <c r="G40" s="93">
        <f t="shared" si="21"/>
        <v>-121</v>
      </c>
      <c r="H40" s="93">
        <f t="shared" si="21"/>
        <v>149</v>
      </c>
      <c r="I40" s="168">
        <f t="shared" si="21"/>
        <v>28</v>
      </c>
      <c r="J40" s="92">
        <f t="shared" si="21"/>
        <v>-200</v>
      </c>
      <c r="K40" s="92">
        <f t="shared" si="21"/>
        <v>0</v>
      </c>
      <c r="L40" s="92">
        <f t="shared" si="21"/>
        <v>200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-189</v>
      </c>
      <c r="Q40" s="92">
        <f t="shared" si="21"/>
        <v>0</v>
      </c>
      <c r="R40" s="92">
        <f t="shared" si="21"/>
        <v>110</v>
      </c>
      <c r="S40" s="93">
        <f t="shared" si="21"/>
        <v>-79</v>
      </c>
      <c r="T40" s="93">
        <f t="shared" si="21"/>
        <v>89</v>
      </c>
      <c r="U40" s="94">
        <f t="shared" si="21"/>
        <v>10</v>
      </c>
      <c r="V40" s="92">
        <f t="shared" si="21"/>
        <v>-350</v>
      </c>
      <c r="W40" s="92">
        <f t="shared" si="21"/>
        <v>0</v>
      </c>
      <c r="X40" s="92">
        <f t="shared" si="21"/>
        <v>200</v>
      </c>
      <c r="Y40" s="93">
        <f t="shared" si="21"/>
        <v>-150</v>
      </c>
      <c r="Z40" s="93">
        <f t="shared" si="21"/>
        <v>150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-5255</v>
      </c>
      <c r="J41" s="98"/>
      <c r="K41" s="99"/>
      <c r="L41" s="99"/>
      <c r="M41" s="100"/>
      <c r="N41" s="103"/>
      <c r="O41" s="102">
        <f>O40-J16</f>
        <v>-5283</v>
      </c>
      <c r="P41" s="98"/>
      <c r="Q41" s="99"/>
      <c r="R41" s="99"/>
      <c r="S41" s="100"/>
      <c r="T41" s="103"/>
      <c r="U41" s="102">
        <f>U40-P16</f>
        <v>-2905</v>
      </c>
      <c r="V41" s="98"/>
      <c r="W41" s="99"/>
      <c r="X41" s="99"/>
      <c r="Y41" s="100"/>
      <c r="Z41" s="103"/>
      <c r="AA41" s="102">
        <f>AA40-V16</f>
        <v>-5725</v>
      </c>
      <c r="AB41" s="21">
        <f t="shared" si="12"/>
        <v>1.0836645845163733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344</v>
      </c>
      <c r="E44" s="117">
        <v>344</v>
      </c>
      <c r="F44" s="118">
        <v>0</v>
      </c>
      <c r="G44" s="108"/>
      <c r="H44" s="108"/>
      <c r="I44" s="115"/>
      <c r="J44" s="116">
        <v>344</v>
      </c>
      <c r="K44" s="117">
        <v>344</v>
      </c>
      <c r="L44" s="118">
        <v>0</v>
      </c>
      <c r="M44" s="119"/>
      <c r="N44" s="119"/>
      <c r="O44" s="119"/>
      <c r="P44" s="116">
        <v>107</v>
      </c>
      <c r="Q44" s="117">
        <v>107</v>
      </c>
      <c r="R44" s="118">
        <v>0</v>
      </c>
      <c r="S44" s="3"/>
      <c r="T44" s="3"/>
      <c r="U44" s="3"/>
      <c r="V44" s="116">
        <v>429</v>
      </c>
      <c r="W44" s="117">
        <v>429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133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D50+E50-F50</f>
        <v>0</v>
      </c>
      <c r="H50" s="108"/>
      <c r="I50" s="3"/>
      <c r="J50" s="129"/>
      <c r="K50" s="129"/>
      <c r="L50" s="129"/>
      <c r="M50" s="130">
        <f>J50+K50-L50</f>
        <v>0</v>
      </c>
      <c r="N50" s="3"/>
      <c r="O50" s="3"/>
      <c r="P50" s="129"/>
      <c r="Q50" s="129"/>
      <c r="R50" s="129"/>
      <c r="S50" s="130">
        <f>P50+Q50-R50</f>
        <v>0</v>
      </c>
      <c r="T50" s="3"/>
      <c r="U50" s="3"/>
      <c r="V50" s="129"/>
      <c r="W50" s="129"/>
      <c r="X50" s="129"/>
      <c r="Y50" s="13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889</v>
      </c>
      <c r="E51" s="129">
        <v>376</v>
      </c>
      <c r="F51" s="129">
        <v>631</v>
      </c>
      <c r="G51" s="130">
        <f t="shared" ref="G51:G54" si="22">D51+E51-F51</f>
        <v>634</v>
      </c>
      <c r="H51" s="108"/>
      <c r="I51" s="3"/>
      <c r="J51" s="129">
        <v>563</v>
      </c>
      <c r="K51" s="129">
        <v>50</v>
      </c>
      <c r="L51" s="129">
        <v>100</v>
      </c>
      <c r="M51" s="130">
        <f t="shared" ref="M51:M54" si="23">J51+K51-L51</f>
        <v>513</v>
      </c>
      <c r="N51" s="3"/>
      <c r="O51" s="3"/>
      <c r="P51" s="129">
        <v>634</v>
      </c>
      <c r="Q51" s="129">
        <v>28</v>
      </c>
      <c r="R51" s="129">
        <v>392</v>
      </c>
      <c r="S51" s="130">
        <f t="shared" ref="S51:S54" si="24">P51+Q51-R51</f>
        <v>270</v>
      </c>
      <c r="T51" s="3"/>
      <c r="U51" s="3"/>
      <c r="V51" s="129">
        <v>270</v>
      </c>
      <c r="W51" s="129">
        <v>20</v>
      </c>
      <c r="X51" s="129">
        <v>0</v>
      </c>
      <c r="Y51" s="130">
        <f t="shared" ref="Y51:Y54" si="25">V51+W51-X51</f>
        <v>290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542</v>
      </c>
      <c r="E52" s="129">
        <v>481</v>
      </c>
      <c r="F52" s="129">
        <v>628</v>
      </c>
      <c r="G52" s="130">
        <f t="shared" si="22"/>
        <v>395</v>
      </c>
      <c r="H52" s="108"/>
      <c r="I52" s="3"/>
      <c r="J52" s="129">
        <v>432</v>
      </c>
      <c r="K52" s="129">
        <v>482</v>
      </c>
      <c r="L52" s="129">
        <v>100</v>
      </c>
      <c r="M52" s="130">
        <f t="shared" si="23"/>
        <v>814</v>
      </c>
      <c r="N52" s="3"/>
      <c r="O52" s="3"/>
      <c r="P52" s="129">
        <v>395</v>
      </c>
      <c r="Q52" s="129">
        <v>176</v>
      </c>
      <c r="R52" s="129">
        <v>214</v>
      </c>
      <c r="S52" s="130">
        <f t="shared" si="24"/>
        <v>357</v>
      </c>
      <c r="T52" s="3"/>
      <c r="U52" s="3"/>
      <c r="V52" s="129">
        <v>282</v>
      </c>
      <c r="W52" s="129">
        <v>560</v>
      </c>
      <c r="X52" s="129">
        <v>500</v>
      </c>
      <c r="Y52" s="130">
        <f t="shared" si="25"/>
        <v>342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290</v>
      </c>
      <c r="E53" s="129">
        <v>0</v>
      </c>
      <c r="F53" s="129">
        <v>60</v>
      </c>
      <c r="G53" s="130">
        <f t="shared" si="22"/>
        <v>230</v>
      </c>
      <c r="H53" s="108"/>
      <c r="I53" s="3"/>
      <c r="J53" s="129">
        <v>266</v>
      </c>
      <c r="K53" s="129">
        <v>0</v>
      </c>
      <c r="L53" s="129">
        <v>50</v>
      </c>
      <c r="M53" s="130">
        <f t="shared" si="23"/>
        <v>216</v>
      </c>
      <c r="N53" s="3"/>
      <c r="O53" s="3"/>
      <c r="P53" s="129">
        <v>230</v>
      </c>
      <c r="Q53" s="129">
        <v>0</v>
      </c>
      <c r="R53" s="129">
        <v>0</v>
      </c>
      <c r="S53" s="130">
        <f t="shared" si="24"/>
        <v>230</v>
      </c>
      <c r="T53" s="3"/>
      <c r="U53" s="3"/>
      <c r="V53" s="129">
        <v>230</v>
      </c>
      <c r="W53" s="129">
        <v>0</v>
      </c>
      <c r="X53" s="129">
        <v>0</v>
      </c>
      <c r="Y53" s="130">
        <f t="shared" si="25"/>
        <v>230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145</v>
      </c>
      <c r="E54" s="129">
        <v>405</v>
      </c>
      <c r="F54" s="129">
        <v>372</v>
      </c>
      <c r="G54" s="130">
        <f t="shared" si="22"/>
        <v>178</v>
      </c>
      <c r="H54" s="108"/>
      <c r="I54" s="3"/>
      <c r="J54" s="129">
        <v>20</v>
      </c>
      <c r="K54" s="129">
        <v>387</v>
      </c>
      <c r="L54" s="129">
        <v>387</v>
      </c>
      <c r="M54" s="130">
        <f t="shared" si="23"/>
        <v>20</v>
      </c>
      <c r="N54" s="3"/>
      <c r="O54" s="3"/>
      <c r="P54" s="129">
        <v>178</v>
      </c>
      <c r="Q54" s="129">
        <v>215</v>
      </c>
      <c r="R54" s="129">
        <v>138</v>
      </c>
      <c r="S54" s="130">
        <f t="shared" si="24"/>
        <v>255</v>
      </c>
      <c r="T54" s="3"/>
      <c r="U54" s="3"/>
      <c r="V54" s="129">
        <v>150</v>
      </c>
      <c r="W54" s="129">
        <v>436</v>
      </c>
      <c r="X54" s="129">
        <v>480</v>
      </c>
      <c r="Y54" s="130">
        <f t="shared" si="25"/>
        <v>106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>
        <v>2</v>
      </c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53</v>
      </c>
      <c r="E57" s="132">
        <v>55</v>
      </c>
      <c r="F57" s="108"/>
      <c r="G57" s="108"/>
      <c r="H57" s="108"/>
      <c r="I57" s="115"/>
      <c r="J57" s="132">
        <v>55</v>
      </c>
      <c r="K57" s="108"/>
      <c r="L57" s="108"/>
      <c r="M57" s="108"/>
      <c r="N57" s="108"/>
      <c r="O57" s="115"/>
      <c r="P57" s="132">
        <v>58</v>
      </c>
      <c r="Q57" s="115"/>
      <c r="R57" s="115"/>
      <c r="S57" s="115"/>
      <c r="T57" s="115"/>
      <c r="U57" s="115"/>
      <c r="V57" s="132">
        <v>59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s="173" customFormat="1" x14ac:dyDescent="0.25">
      <c r="A61" s="169" t="s">
        <v>56</v>
      </c>
      <c r="B61" s="365" t="s">
        <v>134</v>
      </c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170"/>
      <c r="W61" s="170"/>
      <c r="X61" s="170"/>
      <c r="Y61" s="170"/>
      <c r="Z61" s="170"/>
      <c r="AA61" s="170"/>
      <c r="AB61" s="171"/>
      <c r="AC61" s="172"/>
      <c r="AD61" s="172"/>
    </row>
    <row r="62" spans="1:30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65" t="s">
        <v>135</v>
      </c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74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74" t="s">
        <v>136</v>
      </c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74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74" t="s">
        <v>137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74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74" t="s">
        <v>138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ht="13.9" customHeight="1" x14ac:dyDescent="0.25">
      <c r="A70" s="1"/>
      <c r="B70" s="174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74" t="s">
        <v>139</v>
      </c>
      <c r="C71" s="175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43707</v>
      </c>
      <c r="D91" s="156" t="s">
        <v>105</v>
      </c>
      <c r="E91" s="313" t="s">
        <v>140</v>
      </c>
      <c r="F91" s="313"/>
      <c r="G91" s="313"/>
      <c r="H91" s="156"/>
      <c r="I91" s="156" t="s">
        <v>107</v>
      </c>
      <c r="J91" s="314" t="s">
        <v>141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1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7"/>
  <sheetViews>
    <sheetView showGridLines="0" topLeftCell="A30" zoomScale="80" zoomScaleNormal="80" zoomScaleSheetLayoutView="80" workbookViewId="0">
      <selection activeCell="AB41" sqref="AB4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142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46789731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143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76">
        <v>1954.8510000000001</v>
      </c>
      <c r="G15" s="18">
        <f>SUM(D15:F15)</f>
        <v>1954.8510000000001</v>
      </c>
      <c r="H15" s="19">
        <v>0</v>
      </c>
      <c r="I15" s="20">
        <f>G15+H15</f>
        <v>1954.8510000000001</v>
      </c>
      <c r="J15" s="15"/>
      <c r="K15" s="16"/>
      <c r="L15" s="17">
        <v>2030</v>
      </c>
      <c r="M15" s="18">
        <f t="shared" ref="M15:M23" si="0">SUM(J15:L15)</f>
        <v>2030</v>
      </c>
      <c r="N15" s="19">
        <v>0</v>
      </c>
      <c r="O15" s="20">
        <f>M15+N15</f>
        <v>2030</v>
      </c>
      <c r="P15" s="15"/>
      <c r="Q15" s="16"/>
      <c r="R15" s="17">
        <v>1131.1179999999999</v>
      </c>
      <c r="S15" s="18">
        <f>SUM(P15:R15)</f>
        <v>1131.1179999999999</v>
      </c>
      <c r="T15" s="19">
        <v>0</v>
      </c>
      <c r="U15" s="20">
        <f>S15+T15</f>
        <v>1131.1179999999999</v>
      </c>
      <c r="V15" s="15"/>
      <c r="W15" s="16"/>
      <c r="X15" s="17">
        <v>2300</v>
      </c>
      <c r="Y15" s="18">
        <f>SUM(V15:X15)</f>
        <v>2300</v>
      </c>
      <c r="Z15" s="19">
        <v>0</v>
      </c>
      <c r="AA15" s="20">
        <f>Y15+Z15</f>
        <v>2300</v>
      </c>
      <c r="AB15" s="21">
        <f>(AA15/O15)</f>
        <v>1.1330049261083743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5326</v>
      </c>
      <c r="E16" s="25"/>
      <c r="F16" s="25"/>
      <c r="G16" s="26">
        <f t="shared" ref="G16:G23" si="1">SUM(D16:F16)</f>
        <v>5326</v>
      </c>
      <c r="H16" s="27"/>
      <c r="I16" s="20">
        <f t="shared" ref="I16:I23" si="2">G16+H16</f>
        <v>5326</v>
      </c>
      <c r="J16" s="24">
        <v>5450</v>
      </c>
      <c r="K16" s="25"/>
      <c r="L16" s="25"/>
      <c r="M16" s="26">
        <f t="shared" si="0"/>
        <v>5450</v>
      </c>
      <c r="N16" s="27"/>
      <c r="O16" s="20">
        <f t="shared" ref="O16:O20" si="3">M16+N16</f>
        <v>5450</v>
      </c>
      <c r="P16" s="24">
        <v>2907.1</v>
      </c>
      <c r="Q16" s="25"/>
      <c r="R16" s="25"/>
      <c r="S16" s="26">
        <f t="shared" ref="S16:S23" si="4">SUM(P16:R16)</f>
        <v>2907.1</v>
      </c>
      <c r="T16" s="27"/>
      <c r="U16" s="20">
        <f t="shared" ref="U16:U20" si="5">S16+T16</f>
        <v>2907.1</v>
      </c>
      <c r="V16" s="24">
        <v>5570</v>
      </c>
      <c r="W16" s="25"/>
      <c r="X16" s="25"/>
      <c r="Y16" s="26">
        <f t="shared" ref="Y16:Y23" si="6">SUM(V16:X16)</f>
        <v>5570</v>
      </c>
      <c r="Z16" s="27"/>
      <c r="AA16" s="20">
        <f t="shared" ref="AA16:AA20" si="7">Y16+Z16</f>
        <v>5570</v>
      </c>
      <c r="AB16" s="21">
        <f t="shared" ref="AB16:AB24" si="8">(AA16/O16)</f>
        <v>1.0220183486238532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177">
        <v>606.24099999999999</v>
      </c>
      <c r="E17" s="30"/>
      <c r="F17" s="30"/>
      <c r="G17" s="26">
        <f t="shared" si="1"/>
        <v>606.24099999999999</v>
      </c>
      <c r="H17" s="31"/>
      <c r="I17" s="20">
        <f t="shared" si="2"/>
        <v>606.24099999999999</v>
      </c>
      <c r="J17" s="29">
        <v>0</v>
      </c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537.70000000000005</v>
      </c>
      <c r="Q17" s="30"/>
      <c r="R17" s="30"/>
      <c r="S17" s="26">
        <f t="shared" si="4"/>
        <v>537.70000000000005</v>
      </c>
      <c r="T17" s="31"/>
      <c r="U17" s="20">
        <f t="shared" si="5"/>
        <v>537.70000000000005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176">
        <v>39340.790999999997</v>
      </c>
      <c r="F18" s="30"/>
      <c r="G18" s="26">
        <f t="shared" si="1"/>
        <v>39340.790999999997</v>
      </c>
      <c r="H18" s="19"/>
      <c r="I18" s="20">
        <f t="shared" si="2"/>
        <v>39340.790999999997</v>
      </c>
      <c r="J18" s="33"/>
      <c r="K18" s="34">
        <v>38540.300000000003</v>
      </c>
      <c r="L18" s="30"/>
      <c r="M18" s="26">
        <f t="shared" si="0"/>
        <v>38540.300000000003</v>
      </c>
      <c r="N18" s="19"/>
      <c r="O18" s="20">
        <f t="shared" si="3"/>
        <v>38540.300000000003</v>
      </c>
      <c r="P18" s="33"/>
      <c r="Q18" s="34">
        <v>20172.584999999999</v>
      </c>
      <c r="R18" s="30"/>
      <c r="S18" s="26">
        <f t="shared" si="4"/>
        <v>20172.584999999999</v>
      </c>
      <c r="T18" s="19"/>
      <c r="U18" s="20">
        <f t="shared" si="5"/>
        <v>20172.584999999999</v>
      </c>
      <c r="V18" s="33"/>
      <c r="W18" s="34">
        <v>44782.124000000003</v>
      </c>
      <c r="X18" s="30"/>
      <c r="Y18" s="26">
        <f t="shared" si="6"/>
        <v>44782.124000000003</v>
      </c>
      <c r="Z18" s="19"/>
      <c r="AA18" s="20">
        <f t="shared" si="7"/>
        <v>44782.124000000003</v>
      </c>
      <c r="AB18" s="21">
        <f t="shared" si="8"/>
        <v>1.161955770972203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25"/>
      <c r="F20" s="176">
        <v>340.74799999999999</v>
      </c>
      <c r="G20" s="176">
        <v>340.74799999999999</v>
      </c>
      <c r="H20" s="38"/>
      <c r="I20" s="20">
        <f t="shared" si="2"/>
        <v>340.74799999999999</v>
      </c>
      <c r="J20" s="33"/>
      <c r="K20" s="25"/>
      <c r="L20" s="40">
        <v>125</v>
      </c>
      <c r="M20" s="26">
        <f t="shared" si="0"/>
        <v>125</v>
      </c>
      <c r="N20" s="38"/>
      <c r="O20" s="20">
        <f t="shared" si="3"/>
        <v>125</v>
      </c>
      <c r="P20" s="33"/>
      <c r="Q20" s="25"/>
      <c r="R20" s="40">
        <v>136.98599999999999</v>
      </c>
      <c r="S20" s="26">
        <f t="shared" si="4"/>
        <v>136.98599999999999</v>
      </c>
      <c r="T20" s="38"/>
      <c r="U20" s="20">
        <f t="shared" si="5"/>
        <v>136.98599999999999</v>
      </c>
      <c r="V20" s="33"/>
      <c r="W20" s="25"/>
      <c r="X20" s="40">
        <v>125</v>
      </c>
      <c r="Y20" s="26">
        <f t="shared" si="6"/>
        <v>125</v>
      </c>
      <c r="Z20" s="38"/>
      <c r="AA20" s="20">
        <f t="shared" si="7"/>
        <v>125</v>
      </c>
      <c r="AB20" s="21">
        <f t="shared" si="8"/>
        <v>1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178">
        <v>293.221</v>
      </c>
      <c r="G21" s="26">
        <f t="shared" si="1"/>
        <v>293.221</v>
      </c>
      <c r="H21" s="42">
        <v>362.84300000000002</v>
      </c>
      <c r="I21" s="20">
        <f>G21+H21</f>
        <v>656.06400000000008</v>
      </c>
      <c r="J21" s="33"/>
      <c r="K21" s="25"/>
      <c r="L21" s="40"/>
      <c r="M21" s="26">
        <f t="shared" si="0"/>
        <v>0</v>
      </c>
      <c r="N21" s="42">
        <v>250</v>
      </c>
      <c r="O21" s="20">
        <f>M21+N21</f>
        <v>250</v>
      </c>
      <c r="P21" s="33"/>
      <c r="Q21" s="25"/>
      <c r="R21" s="40">
        <v>66.686999999999998</v>
      </c>
      <c r="S21" s="26">
        <f t="shared" si="4"/>
        <v>66.686999999999998</v>
      </c>
      <c r="T21" s="42">
        <v>236.124</v>
      </c>
      <c r="U21" s="20">
        <f>S21+T21</f>
        <v>302.81099999999998</v>
      </c>
      <c r="V21" s="33"/>
      <c r="W21" s="25"/>
      <c r="X21" s="40"/>
      <c r="Y21" s="26">
        <f t="shared" si="6"/>
        <v>0</v>
      </c>
      <c r="Z21" s="42">
        <v>250</v>
      </c>
      <c r="AA21" s="20">
        <f>Y21+Z21</f>
        <v>250</v>
      </c>
      <c r="AB21" s="21">
        <f t="shared" si="8"/>
        <v>1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179">
        <v>345.91300000000001</v>
      </c>
      <c r="I22" s="20">
        <f t="shared" si="2"/>
        <v>345.91300000000001</v>
      </c>
      <c r="J22" s="33"/>
      <c r="K22" s="25"/>
      <c r="L22" s="40"/>
      <c r="M22" s="26">
        <f t="shared" si="0"/>
        <v>0</v>
      </c>
      <c r="N22" s="42">
        <v>250</v>
      </c>
      <c r="O22" s="20">
        <f t="shared" ref="O22:O23" si="9">M22+N22</f>
        <v>250</v>
      </c>
      <c r="P22" s="33"/>
      <c r="Q22" s="25"/>
      <c r="R22" s="40"/>
      <c r="S22" s="26">
        <f t="shared" si="4"/>
        <v>0</v>
      </c>
      <c r="T22" s="42">
        <v>229.17400000000001</v>
      </c>
      <c r="U22" s="20">
        <f t="shared" ref="U22:U23" si="10">S22+T22</f>
        <v>229.17400000000001</v>
      </c>
      <c r="V22" s="33"/>
      <c r="W22" s="25"/>
      <c r="X22" s="40"/>
      <c r="Y22" s="26">
        <f t="shared" si="6"/>
        <v>0</v>
      </c>
      <c r="Z22" s="42">
        <v>250</v>
      </c>
      <c r="AA22" s="20">
        <f t="shared" ref="AA22:AA23" si="11">Y22+Z22</f>
        <v>250</v>
      </c>
      <c r="AB22" s="21">
        <f t="shared" si="8"/>
        <v>1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5932.241</v>
      </c>
      <c r="E24" s="55">
        <f>SUM(E15:E21)</f>
        <v>39340.790999999997</v>
      </c>
      <c r="F24" s="55">
        <f>SUM(F15:F21)</f>
        <v>2588.8200000000002</v>
      </c>
      <c r="G24" s="56">
        <f>SUM(D24:F24)</f>
        <v>47861.851999999999</v>
      </c>
      <c r="H24" s="57">
        <f>SUM(H15:H21)</f>
        <v>362.84300000000002</v>
      </c>
      <c r="I24" s="57">
        <f>SUM(I15:I21)</f>
        <v>48224.695</v>
      </c>
      <c r="J24" s="54">
        <f>SUM(J15:J21)</f>
        <v>5450</v>
      </c>
      <c r="K24" s="55">
        <f>SUM(K15:K21)</f>
        <v>38540.300000000003</v>
      </c>
      <c r="L24" s="55">
        <f>SUM(L15:L21)</f>
        <v>2155</v>
      </c>
      <c r="M24" s="56">
        <f>SUM(J24:L24)</f>
        <v>46145.3</v>
      </c>
      <c r="N24" s="57">
        <f>SUM(N15:N21)</f>
        <v>250</v>
      </c>
      <c r="O24" s="57">
        <f>SUM(O15:O21)</f>
        <v>46395.3</v>
      </c>
      <c r="P24" s="54">
        <f>SUM(P15:P21)</f>
        <v>3444.8</v>
      </c>
      <c r="Q24" s="55">
        <f>SUM(Q15:Q21)</f>
        <v>20172.584999999999</v>
      </c>
      <c r="R24" s="55">
        <f>SUM(R15:R21)</f>
        <v>1334.7909999999997</v>
      </c>
      <c r="S24" s="56">
        <f>SUM(P24:R24)</f>
        <v>24952.175999999999</v>
      </c>
      <c r="T24" s="57">
        <f>SUM(T15:T21)</f>
        <v>236.124</v>
      </c>
      <c r="U24" s="57">
        <f>SUM(U15:U21)</f>
        <v>25188.3</v>
      </c>
      <c r="V24" s="54">
        <f>SUM(V15:V21)</f>
        <v>5570</v>
      </c>
      <c r="W24" s="55">
        <f>SUM(W15:W21)</f>
        <v>44782.124000000003</v>
      </c>
      <c r="X24" s="55">
        <f>SUM(X15:X21)</f>
        <v>2425</v>
      </c>
      <c r="Y24" s="56">
        <f>SUM(V24:X24)</f>
        <v>52777.124000000003</v>
      </c>
      <c r="Z24" s="57">
        <f>SUM(Z15:Z21)</f>
        <v>250</v>
      </c>
      <c r="AA24" s="57">
        <f>SUM(AA15:AA21)</f>
        <v>53027.124000000003</v>
      </c>
      <c r="AB24" s="58">
        <f t="shared" si="8"/>
        <v>1.1429417203897809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178">
        <v>429.11399999999998</v>
      </c>
      <c r="E28" s="65"/>
      <c r="F28" s="65"/>
      <c r="G28" s="66">
        <f>SUM(D28:F28)</f>
        <v>429.11399999999998</v>
      </c>
      <c r="H28" s="179"/>
      <c r="I28" s="67">
        <f>G28+H28</f>
        <v>429.11399999999998</v>
      </c>
      <c r="J28" s="68">
        <v>312.39999999999998</v>
      </c>
      <c r="K28" s="65"/>
      <c r="L28" s="65"/>
      <c r="M28" s="66">
        <f>SUM(J28:L28)</f>
        <v>312.39999999999998</v>
      </c>
      <c r="N28" s="66"/>
      <c r="O28" s="67">
        <f>M28+N28</f>
        <v>312.39999999999998</v>
      </c>
      <c r="P28" s="68">
        <v>162.41</v>
      </c>
      <c r="Q28" s="65"/>
      <c r="R28" s="65"/>
      <c r="S28" s="66">
        <f>SUM(P28:R28)</f>
        <v>162.41</v>
      </c>
      <c r="T28" s="66"/>
      <c r="U28" s="67">
        <f>S28+T28</f>
        <v>162.41</v>
      </c>
      <c r="V28" s="68">
        <v>315</v>
      </c>
      <c r="W28" s="65"/>
      <c r="X28" s="65"/>
      <c r="Y28" s="66">
        <f>SUM(V28:X28)</f>
        <v>315</v>
      </c>
      <c r="Z28" s="66"/>
      <c r="AA28" s="67">
        <f>Y28+Z28</f>
        <v>315</v>
      </c>
      <c r="AB28" s="21">
        <f t="shared" ref="AB28:AB41" si="12">(AA28/O28)</f>
        <v>1.0083226632522408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585.39499999999998</v>
      </c>
      <c r="E29" s="70">
        <v>531.29100000000005</v>
      </c>
      <c r="F29" s="70">
        <v>1794.4570000000001</v>
      </c>
      <c r="G29" s="71">
        <f t="shared" ref="G29:G38" si="13">SUM(D29:F29)</f>
        <v>2911.143</v>
      </c>
      <c r="H29" s="179">
        <v>29.579000000000001</v>
      </c>
      <c r="I29" s="20">
        <f t="shared" ref="I29:I38" si="14">G29+H29</f>
        <v>2940.7220000000002</v>
      </c>
      <c r="J29" s="73">
        <v>524</v>
      </c>
      <c r="K29" s="70">
        <v>300</v>
      </c>
      <c r="L29" s="70">
        <v>1863</v>
      </c>
      <c r="M29" s="71">
        <f t="shared" ref="M29:M38" si="15">SUM(J29:L29)</f>
        <v>2687</v>
      </c>
      <c r="N29" s="72">
        <v>100</v>
      </c>
      <c r="O29" s="20">
        <f t="shared" ref="O29:O38" si="16">M29+N29</f>
        <v>2787</v>
      </c>
      <c r="P29" s="73">
        <v>304.38400000000001</v>
      </c>
      <c r="Q29" s="70">
        <v>232.36600000000001</v>
      </c>
      <c r="R29" s="70">
        <v>1029.433</v>
      </c>
      <c r="S29" s="71">
        <f t="shared" ref="S29:S38" si="17">SUM(P29:R29)</f>
        <v>1566.183</v>
      </c>
      <c r="T29" s="72">
        <v>6.2350000000000003</v>
      </c>
      <c r="U29" s="20">
        <f t="shared" ref="U29:U38" si="18">S29+T29</f>
        <v>1572.4179999999999</v>
      </c>
      <c r="V29" s="73">
        <v>520</v>
      </c>
      <c r="W29" s="70">
        <v>240</v>
      </c>
      <c r="X29" s="70">
        <v>2300</v>
      </c>
      <c r="Y29" s="71">
        <f t="shared" ref="Y29:Y38" si="19">SUM(V29:X29)</f>
        <v>3060</v>
      </c>
      <c r="Z29" s="72">
        <v>70</v>
      </c>
      <c r="AA29" s="20">
        <f t="shared" ref="AA29:AA38" si="20">Y29+Z29</f>
        <v>3130</v>
      </c>
      <c r="AB29" s="21">
        <f t="shared" si="12"/>
        <v>1.1230714029422317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2726.1819999999998</v>
      </c>
      <c r="E30" s="74"/>
      <c r="F30" s="74" t="s">
        <v>56</v>
      </c>
      <c r="G30" s="71">
        <f t="shared" si="13"/>
        <v>2726.1819999999998</v>
      </c>
      <c r="H30" s="179">
        <v>89.951999999999998</v>
      </c>
      <c r="I30" s="20">
        <f t="shared" si="14"/>
        <v>2816.134</v>
      </c>
      <c r="J30" s="75">
        <v>3050</v>
      </c>
      <c r="K30" s="74"/>
      <c r="L30" s="74"/>
      <c r="M30" s="71">
        <f t="shared" si="15"/>
        <v>3050</v>
      </c>
      <c r="N30" s="71">
        <v>150</v>
      </c>
      <c r="O30" s="20">
        <f t="shared" si="16"/>
        <v>3200</v>
      </c>
      <c r="P30" s="75">
        <v>1831.5350000000001</v>
      </c>
      <c r="Q30" s="74"/>
      <c r="R30" s="74">
        <v>106.95</v>
      </c>
      <c r="S30" s="71">
        <f t="shared" si="17"/>
        <v>1938.4850000000001</v>
      </c>
      <c r="T30" s="71"/>
      <c r="U30" s="20">
        <f t="shared" si="18"/>
        <v>1938.4850000000001</v>
      </c>
      <c r="V30" s="75">
        <v>3150</v>
      </c>
      <c r="W30" s="74"/>
      <c r="X30" s="74"/>
      <c r="Y30" s="71">
        <f t="shared" si="19"/>
        <v>3150</v>
      </c>
      <c r="Z30" s="71">
        <v>180</v>
      </c>
      <c r="AA30" s="20">
        <f t="shared" si="20"/>
        <v>3330</v>
      </c>
      <c r="AB30" s="21">
        <f t="shared" si="12"/>
        <v>1.0406249999999999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1157.328</v>
      </c>
      <c r="E31" s="74">
        <v>37.273000000000003</v>
      </c>
      <c r="F31" s="74">
        <v>234.36</v>
      </c>
      <c r="G31" s="71">
        <f t="shared" si="13"/>
        <v>1428.9609999999998</v>
      </c>
      <c r="H31" s="179">
        <v>15.504</v>
      </c>
      <c r="I31" s="20">
        <f t="shared" si="14"/>
        <v>1444.4649999999997</v>
      </c>
      <c r="J31" s="75">
        <v>1150</v>
      </c>
      <c r="K31" s="74"/>
      <c r="L31" s="74">
        <v>188</v>
      </c>
      <c r="M31" s="71">
        <f t="shared" si="15"/>
        <v>1338</v>
      </c>
      <c r="N31" s="71"/>
      <c r="O31" s="20">
        <f t="shared" si="16"/>
        <v>1338</v>
      </c>
      <c r="P31" s="75">
        <v>647.91099999999994</v>
      </c>
      <c r="Q31" s="74">
        <v>58.594000000000001</v>
      </c>
      <c r="R31" s="74">
        <v>8.7710000000000008</v>
      </c>
      <c r="S31" s="71">
        <f t="shared" si="17"/>
        <v>715.27599999999995</v>
      </c>
      <c r="T31" s="71"/>
      <c r="U31" s="20">
        <f t="shared" si="18"/>
        <v>715.27599999999995</v>
      </c>
      <c r="V31" s="75">
        <v>1050</v>
      </c>
      <c r="W31" s="74">
        <v>62</v>
      </c>
      <c r="X31" s="74"/>
      <c r="Y31" s="71">
        <f t="shared" si="19"/>
        <v>1112</v>
      </c>
      <c r="Z31" s="71"/>
      <c r="AA31" s="20">
        <f t="shared" si="20"/>
        <v>1112</v>
      </c>
      <c r="AB31" s="21">
        <f t="shared" si="12"/>
        <v>0.83109118086696565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332.35300000000001</v>
      </c>
      <c r="E32" s="74">
        <v>27991.008000000002</v>
      </c>
      <c r="F32" s="74">
        <v>3.4340000000000002</v>
      </c>
      <c r="G32" s="71">
        <f t="shared" si="13"/>
        <v>28326.795000000002</v>
      </c>
      <c r="H32" s="179">
        <v>0</v>
      </c>
      <c r="I32" s="20">
        <f t="shared" si="14"/>
        <v>28326.795000000002</v>
      </c>
      <c r="J32" s="180"/>
      <c r="K32" s="74">
        <v>27363.1</v>
      </c>
      <c r="L32" s="74"/>
      <c r="M32" s="71">
        <f t="shared" si="15"/>
        <v>27363.1</v>
      </c>
      <c r="N32" s="71"/>
      <c r="O32" s="20">
        <f t="shared" si="16"/>
        <v>27363.1</v>
      </c>
      <c r="P32" s="180">
        <v>334.33800000000002</v>
      </c>
      <c r="Q32" s="74">
        <v>14572.623</v>
      </c>
      <c r="R32" s="74">
        <v>18.619</v>
      </c>
      <c r="S32" s="71">
        <f t="shared" si="17"/>
        <v>14925.58</v>
      </c>
      <c r="T32" s="71"/>
      <c r="U32" s="20">
        <f t="shared" si="18"/>
        <v>14925.58</v>
      </c>
      <c r="V32" s="77"/>
      <c r="W32" s="74">
        <v>32172.01</v>
      </c>
      <c r="X32" s="74"/>
      <c r="Y32" s="71">
        <f t="shared" si="19"/>
        <v>32172.01</v>
      </c>
      <c r="Z32" s="71"/>
      <c r="AA32" s="20">
        <f t="shared" si="20"/>
        <v>32172.01</v>
      </c>
      <c r="AB32" s="21">
        <f t="shared" si="12"/>
        <v>1.1757443418326139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181">
        <v>332.35300000000001</v>
      </c>
      <c r="E33" s="74">
        <v>27562.975999999999</v>
      </c>
      <c r="F33" s="74">
        <v>3.4340000000000002</v>
      </c>
      <c r="G33" s="71">
        <f t="shared" si="13"/>
        <v>27898.762999999999</v>
      </c>
      <c r="H33" s="71"/>
      <c r="I33" s="20">
        <f t="shared" si="14"/>
        <v>27898.762999999999</v>
      </c>
      <c r="J33" s="180"/>
      <c r="K33" s="74">
        <v>26898.1</v>
      </c>
      <c r="L33" s="74"/>
      <c r="M33" s="71">
        <f t="shared" si="15"/>
        <v>26898.1</v>
      </c>
      <c r="N33" s="71"/>
      <c r="O33" s="20">
        <f t="shared" si="16"/>
        <v>26898.1</v>
      </c>
      <c r="P33" s="180">
        <v>334.33800000000002</v>
      </c>
      <c r="Q33" s="74">
        <v>14349.466</v>
      </c>
      <c r="R33" s="74">
        <v>3.1040000000000001</v>
      </c>
      <c r="S33" s="71">
        <f t="shared" si="17"/>
        <v>14686.907999999999</v>
      </c>
      <c r="T33" s="71"/>
      <c r="U33" s="20">
        <f t="shared" si="18"/>
        <v>14686.907999999999</v>
      </c>
      <c r="V33" s="77"/>
      <c r="W33" s="74">
        <v>31952.01</v>
      </c>
      <c r="X33" s="74"/>
      <c r="Y33" s="71">
        <f t="shared" si="19"/>
        <v>31952.01</v>
      </c>
      <c r="Z33" s="71"/>
      <c r="AA33" s="20">
        <f t="shared" si="20"/>
        <v>31952.01</v>
      </c>
      <c r="AB33" s="21">
        <f t="shared" si="12"/>
        <v>1.1878909662764285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 t="s">
        <v>56</v>
      </c>
      <c r="E34" s="74">
        <v>428.03199999999998</v>
      </c>
      <c r="F34" s="74"/>
      <c r="G34" s="71">
        <f t="shared" si="13"/>
        <v>428.03199999999998</v>
      </c>
      <c r="H34" s="71"/>
      <c r="I34" s="20">
        <f t="shared" si="14"/>
        <v>428.03199999999998</v>
      </c>
      <c r="J34" s="77" t="s">
        <v>56</v>
      </c>
      <c r="K34" s="74">
        <v>415</v>
      </c>
      <c r="L34" s="74"/>
      <c r="M34" s="71">
        <f>SUM(J34:L34)</f>
        <v>415</v>
      </c>
      <c r="N34" s="71"/>
      <c r="O34" s="20">
        <f t="shared" si="16"/>
        <v>415</v>
      </c>
      <c r="P34" s="77" t="s">
        <v>56</v>
      </c>
      <c r="Q34" s="74">
        <v>223.15700000000001</v>
      </c>
      <c r="R34" s="74">
        <v>15.515000000000001</v>
      </c>
      <c r="S34" s="71">
        <f t="shared" si="17"/>
        <v>238.67200000000003</v>
      </c>
      <c r="T34" s="71"/>
      <c r="U34" s="20">
        <f t="shared" si="18"/>
        <v>238.67200000000003</v>
      </c>
      <c r="V34" s="77" t="s">
        <v>56</v>
      </c>
      <c r="W34" s="74">
        <v>220</v>
      </c>
      <c r="X34" s="74"/>
      <c r="Y34" s="71">
        <f t="shared" si="19"/>
        <v>220</v>
      </c>
      <c r="Z34" s="71"/>
      <c r="AA34" s="20">
        <f t="shared" si="20"/>
        <v>220</v>
      </c>
      <c r="AB34" s="21">
        <f t="shared" si="12"/>
        <v>0.53012048192771088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181">
        <v>116.631</v>
      </c>
      <c r="E35" s="74">
        <v>9494.3089999999993</v>
      </c>
      <c r="F35" s="74"/>
      <c r="G35" s="71">
        <f t="shared" si="13"/>
        <v>9610.9399999999987</v>
      </c>
      <c r="H35" s="71"/>
      <c r="I35" s="20">
        <f t="shared" si="14"/>
        <v>9610.9399999999987</v>
      </c>
      <c r="J35" s="180"/>
      <c r="K35" s="74">
        <v>9810.1</v>
      </c>
      <c r="L35" s="74"/>
      <c r="M35" s="71">
        <f t="shared" si="15"/>
        <v>9810.1</v>
      </c>
      <c r="N35" s="71"/>
      <c r="O35" s="20">
        <f t="shared" si="16"/>
        <v>9810.1</v>
      </c>
      <c r="P35" s="180">
        <v>113.676</v>
      </c>
      <c r="Q35" s="74">
        <v>4941.3509999999997</v>
      </c>
      <c r="R35" s="74">
        <v>29.733000000000001</v>
      </c>
      <c r="S35" s="71">
        <f t="shared" si="17"/>
        <v>5084.76</v>
      </c>
      <c r="T35" s="71"/>
      <c r="U35" s="20">
        <f t="shared" si="18"/>
        <v>5084.76</v>
      </c>
      <c r="V35" s="77"/>
      <c r="W35" s="74">
        <v>11003.683000000001</v>
      </c>
      <c r="X35" s="74"/>
      <c r="Y35" s="71">
        <f t="shared" si="19"/>
        <v>11003.683000000001</v>
      </c>
      <c r="Z35" s="71"/>
      <c r="AA35" s="20">
        <f t="shared" si="20"/>
        <v>11003.683000000001</v>
      </c>
      <c r="AB35" s="21">
        <f t="shared" si="12"/>
        <v>1.1216687903283351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/>
      <c r="F36" s="74"/>
      <c r="G36" s="71">
        <f t="shared" si="13"/>
        <v>0</v>
      </c>
      <c r="H36" s="71"/>
      <c r="I36" s="20">
        <f t="shared" si="14"/>
        <v>0</v>
      </c>
      <c r="J36" s="75"/>
      <c r="K36" s="74"/>
      <c r="L36" s="74"/>
      <c r="M36" s="71">
        <f t="shared" si="15"/>
        <v>0</v>
      </c>
      <c r="N36" s="71"/>
      <c r="O36" s="20">
        <f t="shared" si="16"/>
        <v>0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75"/>
      <c r="W36" s="74"/>
      <c r="X36" s="74"/>
      <c r="Y36" s="71">
        <f t="shared" si="19"/>
        <v>0</v>
      </c>
      <c r="Z36" s="71"/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315.12700000000001</v>
      </c>
      <c r="E37" s="74"/>
      <c r="F37" s="74"/>
      <c r="G37" s="71">
        <f t="shared" si="13"/>
        <v>315.12700000000001</v>
      </c>
      <c r="H37" s="71"/>
      <c r="I37" s="20">
        <f t="shared" si="14"/>
        <v>315.12700000000001</v>
      </c>
      <c r="J37" s="75">
        <v>317.60000000000002</v>
      </c>
      <c r="K37" s="74"/>
      <c r="L37" s="74"/>
      <c r="M37" s="71">
        <f t="shared" si="15"/>
        <v>317.60000000000002</v>
      </c>
      <c r="N37" s="71"/>
      <c r="O37" s="20">
        <f t="shared" si="16"/>
        <v>317.60000000000002</v>
      </c>
      <c r="P37" s="75">
        <v>160.00299999999999</v>
      </c>
      <c r="Q37" s="74"/>
      <c r="R37" s="74"/>
      <c r="S37" s="71">
        <f t="shared" si="17"/>
        <v>160.00299999999999</v>
      </c>
      <c r="T37" s="71"/>
      <c r="U37" s="20">
        <f t="shared" si="18"/>
        <v>160.00299999999999</v>
      </c>
      <c r="V37" s="75">
        <v>325</v>
      </c>
      <c r="W37" s="74"/>
      <c r="X37" s="74"/>
      <c r="Y37" s="71">
        <f t="shared" si="19"/>
        <v>325</v>
      </c>
      <c r="Z37" s="71"/>
      <c r="AA37" s="20">
        <f t="shared" si="20"/>
        <v>325</v>
      </c>
      <c r="AB37" s="21">
        <f t="shared" si="12"/>
        <v>1.0232997481108312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459.51600000000002</v>
      </c>
      <c r="E38" s="81">
        <v>1286.9100000000001</v>
      </c>
      <c r="F38" s="81">
        <v>556.56899999999996</v>
      </c>
      <c r="G38" s="71">
        <f t="shared" si="13"/>
        <v>2302.9949999999999</v>
      </c>
      <c r="H38" s="82"/>
      <c r="I38" s="50">
        <f t="shared" si="14"/>
        <v>2302.9949999999999</v>
      </c>
      <c r="J38" s="83">
        <v>96</v>
      </c>
      <c r="K38" s="81">
        <v>1067.0999999999999</v>
      </c>
      <c r="L38" s="81">
        <v>104</v>
      </c>
      <c r="M38" s="82">
        <f t="shared" si="15"/>
        <v>1267.0999999999999</v>
      </c>
      <c r="N38" s="82"/>
      <c r="O38" s="50">
        <f t="shared" si="16"/>
        <v>1267.0999999999999</v>
      </c>
      <c r="P38" s="83">
        <v>188.84200000000001</v>
      </c>
      <c r="Q38" s="81">
        <v>367.65100000000001</v>
      </c>
      <c r="R38" s="81">
        <v>141.25299999999999</v>
      </c>
      <c r="S38" s="82">
        <f t="shared" si="17"/>
        <v>697.74600000000009</v>
      </c>
      <c r="T38" s="82"/>
      <c r="U38" s="50">
        <f t="shared" si="18"/>
        <v>697.74600000000009</v>
      </c>
      <c r="V38" s="83">
        <v>210</v>
      </c>
      <c r="W38" s="81">
        <v>1304.431</v>
      </c>
      <c r="X38" s="81">
        <v>125</v>
      </c>
      <c r="Y38" s="82">
        <f t="shared" si="19"/>
        <v>1639.431</v>
      </c>
      <c r="Z38" s="82"/>
      <c r="AA38" s="50">
        <f t="shared" si="20"/>
        <v>1639.431</v>
      </c>
      <c r="AB38" s="51">
        <f t="shared" si="12"/>
        <v>1.293845000394602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6121.6460000000006</v>
      </c>
      <c r="E39" s="85">
        <f>SUM(E35:E38)+SUM(E28:E32)</f>
        <v>39340.790999999997</v>
      </c>
      <c r="F39" s="85">
        <f>SUM(F35:F38)+SUM(F28:F32)</f>
        <v>2588.8199999999997</v>
      </c>
      <c r="G39" s="86">
        <f>SUM(D39:F39)</f>
        <v>48051.256999999998</v>
      </c>
      <c r="H39" s="87">
        <f>SUM(H28:H32)+SUM(H35:H38)</f>
        <v>135.035</v>
      </c>
      <c r="I39" s="88">
        <f>SUM(I35:I38)+SUM(I28:I32)</f>
        <v>48186.292000000001</v>
      </c>
      <c r="J39" s="85">
        <f>SUM(J35:J38)+SUM(J28:J32)</f>
        <v>5450</v>
      </c>
      <c r="K39" s="85">
        <f>SUM(K35:K38)+SUM(K28:K32)</f>
        <v>38540.300000000003</v>
      </c>
      <c r="L39" s="85">
        <f>SUM(L35:L38)+SUM(L28:L32)</f>
        <v>2155</v>
      </c>
      <c r="M39" s="86">
        <f>SUM(J39:L39)</f>
        <v>46145.3</v>
      </c>
      <c r="N39" s="87">
        <f>SUM(N28:N32)+SUM(N35:N38)</f>
        <v>250</v>
      </c>
      <c r="O39" s="88">
        <f>SUM(O35:O38)+SUM(O28:O32)</f>
        <v>46395.3</v>
      </c>
      <c r="P39" s="85">
        <f>SUM(P35:P38)+SUM(P28:P32)</f>
        <v>3743.0990000000002</v>
      </c>
      <c r="Q39" s="85">
        <f>SUM(Q35:Q38)+SUM(Q28:Q32)</f>
        <v>20172.584999999999</v>
      </c>
      <c r="R39" s="85">
        <f>SUM(R35:R38)+SUM(R28:R32)</f>
        <v>1334.759</v>
      </c>
      <c r="S39" s="86">
        <f>SUM(P39:R39)</f>
        <v>25250.442999999999</v>
      </c>
      <c r="T39" s="87">
        <f>SUM(T28:T32)+SUM(T35:T38)</f>
        <v>6.2350000000000003</v>
      </c>
      <c r="U39" s="88">
        <f>SUM(U35:U38)+SUM(U28:U32)</f>
        <v>25256.678</v>
      </c>
      <c r="V39" s="85">
        <f>SUM(V35:V38)+SUM(V28:V32)</f>
        <v>5570</v>
      </c>
      <c r="W39" s="85">
        <f>SUM(W35:W38)+SUM(W28:W32)</f>
        <v>44782.123999999996</v>
      </c>
      <c r="X39" s="85">
        <f>SUM(X35:X38)+SUM(X28:X32)</f>
        <v>2425</v>
      </c>
      <c r="Y39" s="86">
        <f>SUM(V39:X39)</f>
        <v>52777.123999999996</v>
      </c>
      <c r="Z39" s="87">
        <f>SUM(Z28:Z32)+SUM(Z35:Z38)</f>
        <v>250</v>
      </c>
      <c r="AA39" s="88">
        <f>SUM(AA35:AA38)+SUM(AA28:AA32)</f>
        <v>53027.123999999996</v>
      </c>
      <c r="AB39" s="89">
        <f t="shared" si="12"/>
        <v>1.1429417203897807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-189.40500000000065</v>
      </c>
      <c r="E40" s="92">
        <f t="shared" si="21"/>
        <v>0</v>
      </c>
      <c r="F40" s="92">
        <f t="shared" si="21"/>
        <v>0</v>
      </c>
      <c r="G40" s="93">
        <f t="shared" si="21"/>
        <v>-189.40499999999884</v>
      </c>
      <c r="H40" s="93">
        <f t="shared" si="21"/>
        <v>227.80800000000002</v>
      </c>
      <c r="I40" s="94">
        <f t="shared" si="21"/>
        <v>38.402999999998428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-298.29899999999998</v>
      </c>
      <c r="Q40" s="92">
        <f t="shared" si="21"/>
        <v>0</v>
      </c>
      <c r="R40" s="92">
        <f t="shared" si="21"/>
        <v>3.1999999999698048E-2</v>
      </c>
      <c r="S40" s="93">
        <f t="shared" si="21"/>
        <v>-298.26699999999983</v>
      </c>
      <c r="T40" s="93">
        <f t="shared" si="21"/>
        <v>229.88899999999998</v>
      </c>
      <c r="U40" s="94">
        <f t="shared" si="21"/>
        <v>-68.378000000000611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-5287.5970000000016</v>
      </c>
      <c r="J41" s="98"/>
      <c r="K41" s="99"/>
      <c r="L41" s="99"/>
      <c r="M41" s="100"/>
      <c r="N41" s="103"/>
      <c r="O41" s="102">
        <f>O40-J16</f>
        <v>-5450</v>
      </c>
      <c r="P41" s="98"/>
      <c r="Q41" s="99"/>
      <c r="R41" s="99"/>
      <c r="S41" s="100"/>
      <c r="T41" s="103"/>
      <c r="U41" s="102">
        <f>U40-P16</f>
        <v>-2975.4780000000005</v>
      </c>
      <c r="V41" s="98"/>
      <c r="W41" s="99"/>
      <c r="X41" s="99"/>
      <c r="Y41" s="100"/>
      <c r="Z41" s="103"/>
      <c r="AA41" s="102">
        <f>AA40-V16</f>
        <v>-5570</v>
      </c>
      <c r="AB41" s="21">
        <f t="shared" si="12"/>
        <v>1.0220183486238532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216.1</v>
      </c>
      <c r="E44" s="117">
        <v>216.1</v>
      </c>
      <c r="F44" s="118">
        <v>0</v>
      </c>
      <c r="G44" s="108"/>
      <c r="H44" s="108"/>
      <c r="I44" s="115"/>
      <c r="J44" s="116">
        <v>223.6</v>
      </c>
      <c r="K44" s="117">
        <v>223.6</v>
      </c>
      <c r="L44" s="118">
        <v>0</v>
      </c>
      <c r="M44" s="119"/>
      <c r="N44" s="119"/>
      <c r="O44" s="119"/>
      <c r="P44" s="116">
        <v>223.6</v>
      </c>
      <c r="Q44" s="117">
        <v>223.1</v>
      </c>
      <c r="R44" s="118">
        <v>0</v>
      </c>
      <c r="S44" s="3"/>
      <c r="T44" s="3"/>
      <c r="U44" s="3"/>
      <c r="V44" s="116">
        <v>225.99299999999999</v>
      </c>
      <c r="W44" s="117">
        <v>225.99299999999999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102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D50+E50-F50</f>
        <v>0</v>
      </c>
      <c r="H50" s="108"/>
      <c r="I50" s="3"/>
      <c r="J50" s="129"/>
      <c r="K50" s="129"/>
      <c r="L50" s="129"/>
      <c r="M50" s="130">
        <f>J50+K50-L50</f>
        <v>0</v>
      </c>
      <c r="N50" s="3"/>
      <c r="O50" s="3"/>
      <c r="P50" s="129"/>
      <c r="Q50" s="129"/>
      <c r="R50" s="129"/>
      <c r="S50" s="130">
        <f>P50+Q50-R50</f>
        <v>0</v>
      </c>
      <c r="T50" s="3"/>
      <c r="U50" s="3"/>
      <c r="V50" s="129"/>
      <c r="W50" s="129"/>
      <c r="X50" s="129"/>
      <c r="Y50" s="13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1087.2</v>
      </c>
      <c r="E51" s="129">
        <v>752.7</v>
      </c>
      <c r="F51" s="129">
        <v>994.6</v>
      </c>
      <c r="G51" s="130">
        <f t="shared" ref="G51:G54" si="22">D51+E51-F51</f>
        <v>845.30000000000007</v>
      </c>
      <c r="H51" s="108"/>
      <c r="I51" s="3"/>
      <c r="J51" s="129">
        <v>845.30799999999999</v>
      </c>
      <c r="K51" s="129">
        <v>1239.3910000000001</v>
      </c>
      <c r="L51" s="129">
        <v>821.99599999999998</v>
      </c>
      <c r="M51" s="130">
        <f t="shared" ref="M51:M54" si="23">J51+K51-L51</f>
        <v>1262.703</v>
      </c>
      <c r="N51" s="3"/>
      <c r="O51" s="3"/>
      <c r="P51" s="129">
        <v>845.30799999999999</v>
      </c>
      <c r="Q51" s="129">
        <v>1.587</v>
      </c>
      <c r="R51" s="129">
        <v>638.40599999999995</v>
      </c>
      <c r="S51" s="130">
        <f t="shared" ref="S51:S54" si="24">P51+Q51-R51</f>
        <v>208.48900000000003</v>
      </c>
      <c r="T51" s="3"/>
      <c r="U51" s="3"/>
      <c r="V51" s="129">
        <v>1316.7049999999999</v>
      </c>
      <c r="W51" s="129">
        <v>60</v>
      </c>
      <c r="X51" s="129">
        <v>1313.3910000000001</v>
      </c>
      <c r="Y51" s="130">
        <f t="shared" ref="Y51:Y54" si="25">V51+W51-X51</f>
        <v>63.313999999999851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491.2</v>
      </c>
      <c r="E52" s="129">
        <v>315.10000000000002</v>
      </c>
      <c r="F52" s="129">
        <v>285.60000000000002</v>
      </c>
      <c r="G52" s="130">
        <f t="shared" si="22"/>
        <v>520.69999999999993</v>
      </c>
      <c r="H52" s="108"/>
      <c r="I52" s="3"/>
      <c r="J52" s="129">
        <v>520.74199999999996</v>
      </c>
      <c r="K52" s="129">
        <v>322.60700000000003</v>
      </c>
      <c r="L52" s="129">
        <v>466.6</v>
      </c>
      <c r="M52" s="130">
        <f t="shared" si="23"/>
        <v>376.74899999999991</v>
      </c>
      <c r="N52" s="3"/>
      <c r="O52" s="3"/>
      <c r="P52" s="129">
        <v>520.74199999999996</v>
      </c>
      <c r="Q52" s="129">
        <v>160.00299999999999</v>
      </c>
      <c r="R52" s="129">
        <v>290.86</v>
      </c>
      <c r="S52" s="130">
        <f t="shared" si="24"/>
        <v>389.88499999999988</v>
      </c>
      <c r="T52" s="3"/>
      <c r="U52" s="3"/>
      <c r="V52" s="129">
        <v>376.74900000000002</v>
      </c>
      <c r="W52" s="129">
        <v>325</v>
      </c>
      <c r="X52" s="129">
        <v>468.99299999999999</v>
      </c>
      <c r="Y52" s="130">
        <f t="shared" si="25"/>
        <v>232.75600000000003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37.6</v>
      </c>
      <c r="E53" s="129"/>
      <c r="F53" s="129">
        <v>3.4</v>
      </c>
      <c r="G53" s="130">
        <f t="shared" si="22"/>
        <v>34.200000000000003</v>
      </c>
      <c r="H53" s="108"/>
      <c r="I53" s="3"/>
      <c r="J53" s="129">
        <v>34.167999999999999</v>
      </c>
      <c r="K53" s="129"/>
      <c r="L53" s="129">
        <v>15</v>
      </c>
      <c r="M53" s="130">
        <f t="shared" si="23"/>
        <v>19.167999999999999</v>
      </c>
      <c r="N53" s="3"/>
      <c r="O53" s="3"/>
      <c r="P53" s="129">
        <v>34.167000000000002</v>
      </c>
      <c r="Q53" s="129">
        <v>0</v>
      </c>
      <c r="R53" s="129">
        <v>0</v>
      </c>
      <c r="S53" s="130">
        <f t="shared" si="24"/>
        <v>34.167000000000002</v>
      </c>
      <c r="T53" s="3"/>
      <c r="U53" s="3"/>
      <c r="V53" s="129">
        <v>19.167999999999999</v>
      </c>
      <c r="W53" s="129"/>
      <c r="X53" s="129">
        <v>5</v>
      </c>
      <c r="Y53" s="130">
        <f t="shared" si="25"/>
        <v>14.167999999999999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519.20000000000005</v>
      </c>
      <c r="E54" s="129">
        <v>560.33000000000004</v>
      </c>
      <c r="F54" s="129">
        <v>460.08</v>
      </c>
      <c r="G54" s="130">
        <f t="shared" si="22"/>
        <v>619.45000000000027</v>
      </c>
      <c r="H54" s="108"/>
      <c r="I54" s="3"/>
      <c r="J54" s="129">
        <v>619.447</v>
      </c>
      <c r="K54" s="129">
        <v>590</v>
      </c>
      <c r="L54" s="129">
        <v>600</v>
      </c>
      <c r="M54" s="130">
        <f t="shared" si="23"/>
        <v>609.44700000000012</v>
      </c>
      <c r="N54" s="3"/>
      <c r="O54" s="3"/>
      <c r="P54" s="129">
        <v>619.44600000000003</v>
      </c>
      <c r="Q54" s="129">
        <v>295.68400000000003</v>
      </c>
      <c r="R54" s="129">
        <v>203.517</v>
      </c>
      <c r="S54" s="130">
        <f t="shared" si="24"/>
        <v>711.61300000000006</v>
      </c>
      <c r="T54" s="3"/>
      <c r="U54" s="3"/>
      <c r="V54" s="129">
        <v>609.447</v>
      </c>
      <c r="W54" s="129">
        <v>620</v>
      </c>
      <c r="X54" s="129">
        <v>650</v>
      </c>
      <c r="Y54" s="130">
        <f t="shared" si="25"/>
        <v>579.44700000000012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/>
      <c r="E57" s="132">
        <v>78.400000000000006</v>
      </c>
      <c r="F57" s="108"/>
      <c r="G57" s="108"/>
      <c r="H57" s="108"/>
      <c r="I57" s="115"/>
      <c r="J57" s="132">
        <v>79</v>
      </c>
      <c r="K57" s="108"/>
      <c r="L57" s="108"/>
      <c r="M57" s="108"/>
      <c r="N57" s="108"/>
      <c r="O57" s="115"/>
      <c r="P57" s="132">
        <v>77.69</v>
      </c>
      <c r="Q57" s="115"/>
      <c r="R57" s="115"/>
      <c r="S57" s="115"/>
      <c r="T57" s="115"/>
      <c r="U57" s="115"/>
      <c r="V57" s="132">
        <v>79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 t="s">
        <v>144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137" t="s">
        <v>145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65" t="s">
        <v>146</v>
      </c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65" t="s">
        <v>147</v>
      </c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365" t="s">
        <v>148</v>
      </c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139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1"/>
      <c r="C84" s="142"/>
      <c r="D84" s="142"/>
      <c r="E84" s="142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3"/>
      <c r="C85" s="144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1"/>
      <c r="C87" s="146"/>
      <c r="D87" s="145"/>
      <c r="E87" s="145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10"/>
      <c r="W87" s="110"/>
      <c r="X87" s="110"/>
      <c r="Y87" s="110"/>
      <c r="Z87" s="110"/>
      <c r="AA87" s="110"/>
      <c r="AB87" s="138"/>
      <c r="AC87" s="3"/>
      <c r="AD87" s="3"/>
    </row>
    <row r="88" spans="1:30" x14ac:dyDescent="0.25">
      <c r="A88" s="1"/>
      <c r="B88" s="147"/>
      <c r="C88" s="148"/>
      <c r="D88" s="149"/>
      <c r="E88" s="149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1"/>
      <c r="W88" s="151"/>
      <c r="X88" s="151"/>
      <c r="Y88" s="151"/>
      <c r="Z88" s="151"/>
      <c r="AA88" s="151"/>
      <c r="AB88" s="152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04"/>
      <c r="B90" s="153"/>
      <c r="C90" s="154"/>
      <c r="D90" s="153"/>
      <c r="E90" s="153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1"/>
      <c r="B92" s="156" t="s">
        <v>104</v>
      </c>
      <c r="C92" s="157">
        <v>43693</v>
      </c>
      <c r="D92" s="156" t="s">
        <v>105</v>
      </c>
      <c r="E92" s="313" t="s">
        <v>149</v>
      </c>
      <c r="F92" s="313"/>
      <c r="G92" s="313"/>
      <c r="H92" s="156"/>
      <c r="I92" s="156" t="s">
        <v>107</v>
      </c>
      <c r="J92" s="314" t="s">
        <v>150</v>
      </c>
      <c r="K92" s="314"/>
      <c r="L92" s="314"/>
      <c r="M92" s="314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ht="7.5" customHeight="1" x14ac:dyDescent="0.25">
      <c r="A93" s="1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 t="s">
        <v>109</v>
      </c>
      <c r="E94" s="158"/>
      <c r="F94" s="158"/>
      <c r="G94" s="158"/>
      <c r="H94" s="156"/>
      <c r="I94" s="156" t="s">
        <v>109</v>
      </c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8"/>
      <c r="F95" s="158"/>
      <c r="G95" s="158"/>
      <c r="H95" s="156"/>
      <c r="I95" s="156"/>
      <c r="J95" s="159"/>
      <c r="K95" s="159"/>
      <c r="L95" s="159"/>
      <c r="M95" s="159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1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3"/>
      <c r="W97" s="3"/>
      <c r="X97" s="3"/>
      <c r="Y97" s="3"/>
      <c r="Z97" s="3"/>
      <c r="AA97" s="3"/>
      <c r="AB97" s="3"/>
      <c r="AC97" s="3"/>
      <c r="AD97" s="3"/>
    </row>
    <row r="98" spans="1:30" hidden="1" x14ac:dyDescent="0.25">
      <c r="AC98" s="4"/>
      <c r="AD98" s="4"/>
    </row>
    <row r="99" spans="1:30" hidden="1" x14ac:dyDescent="0.25"/>
    <row r="100" spans="1:30" hidden="1" x14ac:dyDescent="0.25"/>
    <row r="101" spans="1:30" hidden="1" x14ac:dyDescent="0.25"/>
    <row r="102" spans="1:30" hidden="1" x14ac:dyDescent="0.25"/>
    <row r="103" spans="1:30" hidden="1" x14ac:dyDescent="0.25"/>
    <row r="104" spans="1:30" hidden="1" x14ac:dyDescent="0.25"/>
    <row r="105" spans="1:30" hidden="1" x14ac:dyDescent="0.25"/>
    <row r="106" spans="1:30" hidden="1" x14ac:dyDescent="0.25"/>
    <row r="107" spans="1:30" hidden="1" x14ac:dyDescent="0.25"/>
    <row r="108" spans="1:30" hidden="1" x14ac:dyDescent="0.25"/>
    <row r="109" spans="1:30" hidden="1" x14ac:dyDescent="0.25"/>
    <row r="110" spans="1:30" hidden="1" x14ac:dyDescent="0.25"/>
    <row r="111" spans="1:30" hidden="1" x14ac:dyDescent="0.25"/>
    <row r="112" spans="1:30" hidden="1" x14ac:dyDescent="0.25"/>
    <row r="113" hidden="1" x14ac:dyDescent="0.25"/>
    <row r="114" ht="15" hidden="1" customHeight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t="15" hidden="1" customHeight="1" x14ac:dyDescent="0.25"/>
    <row r="129" ht="15" hidden="1" customHeight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2:U62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3:U63"/>
    <mergeCell ref="B64:U64"/>
    <mergeCell ref="B83:U83"/>
    <mergeCell ref="E92:G92"/>
    <mergeCell ref="J92:M92"/>
  </mergeCells>
  <conditionalFormatting sqref="AB15:AB25">
    <cfRule type="cellIs" dxfId="37" priority="3" operator="equal">
      <formula>0</formula>
    </cfRule>
    <cfRule type="containsErrors" dxfId="36" priority="4">
      <formula>ISERROR(AB15)</formula>
    </cfRule>
  </conditionalFormatting>
  <conditionalFormatting sqref="AB28:AB41">
    <cfRule type="cellIs" dxfId="35" priority="1" operator="equal">
      <formula>0</formula>
    </cfRule>
    <cfRule type="containsErrors" dxfId="34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70" zoomScaleNormal="70" zoomScaleSheetLayoutView="80" workbookViewId="0">
      <selection activeCell="V31" sqref="V3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151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46789758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67" t="s">
        <v>152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>
        <v>0</v>
      </c>
      <c r="E15" s="16"/>
      <c r="F15" s="17">
        <v>2057</v>
      </c>
      <c r="G15" s="18">
        <f>SUM(D15:F15)</f>
        <v>2057</v>
      </c>
      <c r="H15" s="19">
        <v>0</v>
      </c>
      <c r="I15" s="20">
        <f>G15+H15</f>
        <v>2057</v>
      </c>
      <c r="J15" s="15"/>
      <c r="K15" s="16"/>
      <c r="L15" s="17">
        <v>2380</v>
      </c>
      <c r="M15" s="18">
        <f t="shared" ref="M15:M23" si="0">SUM(J15:L15)</f>
        <v>2380</v>
      </c>
      <c r="N15" s="19">
        <v>0</v>
      </c>
      <c r="O15" s="20">
        <f>M15+N15</f>
        <v>2380</v>
      </c>
      <c r="P15" s="15"/>
      <c r="Q15" s="16"/>
      <c r="R15" s="17">
        <v>1282</v>
      </c>
      <c r="S15" s="18">
        <f>SUM(P15:R15)</f>
        <v>1282</v>
      </c>
      <c r="T15" s="19">
        <v>0</v>
      </c>
      <c r="U15" s="20">
        <f>S15+T15</f>
        <v>1282</v>
      </c>
      <c r="V15" s="15"/>
      <c r="W15" s="16"/>
      <c r="X15" s="17">
        <v>2400</v>
      </c>
      <c r="Y15" s="18">
        <f>SUM(V15:X15)</f>
        <v>2400</v>
      </c>
      <c r="Z15" s="19">
        <v>0</v>
      </c>
      <c r="AA15" s="20">
        <f>Y15+Z15</f>
        <v>2400</v>
      </c>
      <c r="AB15" s="21">
        <f>(AA15/O15)</f>
        <v>1.0084033613445378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3710</v>
      </c>
      <c r="E16" s="25"/>
      <c r="F16" s="25"/>
      <c r="G16" s="26">
        <f t="shared" ref="G16:G23" si="1">SUM(D16:F16)</f>
        <v>3710</v>
      </c>
      <c r="H16" s="27"/>
      <c r="I16" s="20">
        <f>G16+H16</f>
        <v>3710</v>
      </c>
      <c r="J16" s="24">
        <v>3710</v>
      </c>
      <c r="K16" s="25"/>
      <c r="L16" s="25"/>
      <c r="M16" s="26">
        <f t="shared" si="0"/>
        <v>3710</v>
      </c>
      <c r="N16" s="27"/>
      <c r="O16" s="20">
        <f t="shared" ref="O16:O20" si="2">M16+N16</f>
        <v>3710</v>
      </c>
      <c r="P16" s="24">
        <v>1800</v>
      </c>
      <c r="Q16" s="25"/>
      <c r="R16" s="25"/>
      <c r="S16" s="26">
        <f t="shared" ref="S16:S23" si="3">SUM(P16:R16)</f>
        <v>1800</v>
      </c>
      <c r="T16" s="27"/>
      <c r="U16" s="20">
        <f t="shared" ref="U16:U20" si="4">S16+T16</f>
        <v>1800</v>
      </c>
      <c r="V16" s="24">
        <v>3910</v>
      </c>
      <c r="W16" s="25"/>
      <c r="X16" s="25"/>
      <c r="Y16" s="26">
        <f t="shared" ref="Y16:Y23" si="5">SUM(V16:X16)</f>
        <v>3910</v>
      </c>
      <c r="Z16" s="27"/>
      <c r="AA16" s="20">
        <f t="shared" ref="AA16:AA20" si="6">Y16+Z16</f>
        <v>3910</v>
      </c>
      <c r="AB16" s="21">
        <f t="shared" ref="AB16:AB24" si="7">(AA16/O16)</f>
        <v>1.0539083557951483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635</v>
      </c>
      <c r="E17" s="30"/>
      <c r="F17" s="30"/>
      <c r="G17" s="26">
        <f t="shared" si="1"/>
        <v>635</v>
      </c>
      <c r="H17" s="31"/>
      <c r="I17" s="20">
        <f t="shared" ref="I17:I23" si="8">G17+H17</f>
        <v>635</v>
      </c>
      <c r="J17" s="29"/>
      <c r="K17" s="30"/>
      <c r="L17" s="30"/>
      <c r="M17" s="26">
        <f t="shared" si="0"/>
        <v>0</v>
      </c>
      <c r="N17" s="31"/>
      <c r="O17" s="20">
        <f t="shared" si="2"/>
        <v>0</v>
      </c>
      <c r="P17" s="29">
        <v>381.3</v>
      </c>
      <c r="Q17" s="30"/>
      <c r="R17" s="30"/>
      <c r="S17" s="26">
        <f t="shared" si="3"/>
        <v>381.3</v>
      </c>
      <c r="T17" s="31"/>
      <c r="U17" s="20">
        <f t="shared" si="4"/>
        <v>381.3</v>
      </c>
      <c r="V17" s="29"/>
      <c r="W17" s="30"/>
      <c r="X17" s="30"/>
      <c r="Y17" s="26">
        <f t="shared" si="5"/>
        <v>0</v>
      </c>
      <c r="Z17" s="31"/>
      <c r="AA17" s="20">
        <f t="shared" si="6"/>
        <v>0</v>
      </c>
      <c r="AB17" s="21" t="e">
        <f t="shared" si="7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>
        <v>0</v>
      </c>
      <c r="E18" s="34">
        <v>27885</v>
      </c>
      <c r="F18" s="30"/>
      <c r="G18" s="26">
        <f t="shared" si="1"/>
        <v>27885</v>
      </c>
      <c r="H18" s="19"/>
      <c r="I18" s="20">
        <f t="shared" si="8"/>
        <v>27885</v>
      </c>
      <c r="J18" s="33"/>
      <c r="K18" s="34">
        <v>29600</v>
      </c>
      <c r="L18" s="30"/>
      <c r="M18" s="26">
        <f t="shared" si="0"/>
        <v>29600</v>
      </c>
      <c r="N18" s="19"/>
      <c r="O18" s="20">
        <f t="shared" si="2"/>
        <v>29600</v>
      </c>
      <c r="P18" s="33"/>
      <c r="Q18" s="34">
        <v>14899</v>
      </c>
      <c r="R18" s="30"/>
      <c r="S18" s="26">
        <f t="shared" si="3"/>
        <v>14899</v>
      </c>
      <c r="T18" s="19"/>
      <c r="U18" s="20">
        <f t="shared" si="4"/>
        <v>14899</v>
      </c>
      <c r="V18" s="33"/>
      <c r="W18" s="34">
        <v>32560</v>
      </c>
      <c r="X18" s="30"/>
      <c r="Y18" s="26">
        <f t="shared" si="5"/>
        <v>32560</v>
      </c>
      <c r="Z18" s="19"/>
      <c r="AA18" s="20">
        <f t="shared" si="6"/>
        <v>32560</v>
      </c>
      <c r="AB18" s="21">
        <f t="shared" si="7"/>
        <v>1.1000000000000001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/>
      <c r="G19" s="26">
        <f t="shared" si="1"/>
        <v>0</v>
      </c>
      <c r="H19" s="38"/>
      <c r="I19" s="20">
        <f t="shared" si="8"/>
        <v>0</v>
      </c>
      <c r="J19" s="36"/>
      <c r="K19" s="30"/>
      <c r="L19" s="37">
        <v>100</v>
      </c>
      <c r="M19" s="26">
        <f t="shared" si="0"/>
        <v>100</v>
      </c>
      <c r="N19" s="38"/>
      <c r="O19" s="20">
        <f t="shared" si="2"/>
        <v>100</v>
      </c>
      <c r="P19" s="36"/>
      <c r="Q19" s="30"/>
      <c r="R19" s="37"/>
      <c r="S19" s="26">
        <f t="shared" si="3"/>
        <v>0</v>
      </c>
      <c r="T19" s="38"/>
      <c r="U19" s="20">
        <f t="shared" si="4"/>
        <v>0</v>
      </c>
      <c r="V19" s="36"/>
      <c r="W19" s="30"/>
      <c r="X19" s="37">
        <v>100</v>
      </c>
      <c r="Y19" s="26">
        <f t="shared" si="5"/>
        <v>100</v>
      </c>
      <c r="Z19" s="38"/>
      <c r="AA19" s="20">
        <f t="shared" si="6"/>
        <v>100</v>
      </c>
      <c r="AB19" s="21">
        <f t="shared" si="7"/>
        <v>1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>
        <v>246</v>
      </c>
      <c r="E20" s="25"/>
      <c r="F20" s="40"/>
      <c r="G20" s="26">
        <v>246</v>
      </c>
      <c r="H20" s="38"/>
      <c r="I20" s="20">
        <v>246</v>
      </c>
      <c r="J20" s="33"/>
      <c r="K20" s="25"/>
      <c r="L20" s="40"/>
      <c r="M20" s="26">
        <f t="shared" si="0"/>
        <v>0</v>
      </c>
      <c r="N20" s="38"/>
      <c r="O20" s="20">
        <f t="shared" si="2"/>
        <v>0</v>
      </c>
      <c r="P20" s="33"/>
      <c r="Q20" s="25"/>
      <c r="R20" s="40"/>
      <c r="S20" s="26">
        <f t="shared" si="3"/>
        <v>0</v>
      </c>
      <c r="T20" s="38"/>
      <c r="U20" s="20">
        <f t="shared" si="4"/>
        <v>0</v>
      </c>
      <c r="V20" s="33"/>
      <c r="W20" s="25"/>
      <c r="X20" s="40"/>
      <c r="Y20" s="26">
        <f t="shared" si="5"/>
        <v>0</v>
      </c>
      <c r="Z20" s="38"/>
      <c r="AA20" s="20">
        <f t="shared" si="6"/>
        <v>0</v>
      </c>
      <c r="AB20" s="21" t="e">
        <f t="shared" si="7"/>
        <v>#DIV/0!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>
        <v>51</v>
      </c>
      <c r="E21" s="25"/>
      <c r="F21" s="40">
        <v>0</v>
      </c>
      <c r="G21" s="26">
        <f t="shared" si="1"/>
        <v>51</v>
      </c>
      <c r="H21" s="42">
        <v>343</v>
      </c>
      <c r="I21" s="20">
        <v>394</v>
      </c>
      <c r="J21" s="33"/>
      <c r="K21" s="25"/>
      <c r="L21" s="40"/>
      <c r="M21" s="26">
        <f t="shared" si="0"/>
        <v>0</v>
      </c>
      <c r="N21" s="42">
        <v>280</v>
      </c>
      <c r="O21" s="20">
        <f>M21+N21</f>
        <v>280</v>
      </c>
      <c r="P21" s="33">
        <v>31</v>
      </c>
      <c r="Q21" s="25"/>
      <c r="R21" s="40"/>
      <c r="S21" s="26">
        <f t="shared" si="3"/>
        <v>31</v>
      </c>
      <c r="T21" s="42">
        <v>201</v>
      </c>
      <c r="U21" s="20">
        <f>S21+T21</f>
        <v>232</v>
      </c>
      <c r="V21" s="33"/>
      <c r="W21" s="25"/>
      <c r="X21" s="40"/>
      <c r="Y21" s="26">
        <f t="shared" si="5"/>
        <v>0</v>
      </c>
      <c r="Z21" s="42">
        <v>280</v>
      </c>
      <c r="AA21" s="20">
        <f>Y21+Z21</f>
        <v>280</v>
      </c>
      <c r="AB21" s="21">
        <f t="shared" si="7"/>
        <v>1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/>
      <c r="I22" s="20">
        <f t="shared" si="8"/>
        <v>0</v>
      </c>
      <c r="J22" s="33"/>
      <c r="K22" s="25"/>
      <c r="L22" s="40"/>
      <c r="M22" s="26">
        <f t="shared" si="0"/>
        <v>0</v>
      </c>
      <c r="N22" s="42">
        <v>280</v>
      </c>
      <c r="O22" s="20">
        <f t="shared" ref="O22:O23" si="9">M22+N22</f>
        <v>280</v>
      </c>
      <c r="P22" s="33"/>
      <c r="Q22" s="25"/>
      <c r="R22" s="40"/>
      <c r="S22" s="26">
        <f t="shared" si="3"/>
        <v>0</v>
      </c>
      <c r="T22" s="42">
        <v>201</v>
      </c>
      <c r="U22" s="20">
        <f t="shared" ref="U22:U23" si="10">S22+T22</f>
        <v>201</v>
      </c>
      <c r="V22" s="33"/>
      <c r="W22" s="25"/>
      <c r="X22" s="40"/>
      <c r="Y22" s="26">
        <f t="shared" si="5"/>
        <v>0</v>
      </c>
      <c r="Z22" s="42">
        <v>280</v>
      </c>
      <c r="AA22" s="20">
        <f t="shared" ref="AA22:AA23" si="11">Y22+Z22</f>
        <v>280</v>
      </c>
      <c r="AB22" s="21">
        <f t="shared" si="7"/>
        <v>1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/>
      <c r="I23" s="50">
        <f t="shared" si="8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/>
      <c r="S23" s="48">
        <f t="shared" si="3"/>
        <v>0</v>
      </c>
      <c r="T23" s="49"/>
      <c r="U23" s="50">
        <f t="shared" si="10"/>
        <v>0</v>
      </c>
      <c r="V23" s="45"/>
      <c r="W23" s="46"/>
      <c r="X23" s="47"/>
      <c r="Y23" s="48">
        <f t="shared" si="5"/>
        <v>0</v>
      </c>
      <c r="Z23" s="49"/>
      <c r="AA23" s="50">
        <f t="shared" si="11"/>
        <v>0</v>
      </c>
      <c r="AB23" s="51" t="e">
        <f t="shared" si="7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4642</v>
      </c>
      <c r="E24" s="55">
        <f>SUM(E15:E21)</f>
        <v>27885</v>
      </c>
      <c r="F24" s="55">
        <f>SUM(F15:F21)</f>
        <v>2057</v>
      </c>
      <c r="G24" s="56">
        <f>SUM(D24:F24)</f>
        <v>34584</v>
      </c>
      <c r="H24" s="57">
        <f>SUM(H15:H21)</f>
        <v>343</v>
      </c>
      <c r="I24" s="57">
        <f>SUM(I15+I16+I17+I18+I20+I21)</f>
        <v>34927</v>
      </c>
      <c r="J24" s="54">
        <f>SUM(J15:J21)</f>
        <v>3710</v>
      </c>
      <c r="K24" s="55">
        <f>SUM(K15:K21)</f>
        <v>29600</v>
      </c>
      <c r="L24" s="55">
        <f>SUM(L15:L21)</f>
        <v>2480</v>
      </c>
      <c r="M24" s="56">
        <f>SUM(J24:L24)</f>
        <v>35790</v>
      </c>
      <c r="N24" s="57">
        <f>SUM(N15:N21)</f>
        <v>280</v>
      </c>
      <c r="O24" s="57">
        <f>SUM(O15:O21)</f>
        <v>36070</v>
      </c>
      <c r="P24" s="54">
        <f>SUM(P15:P21)</f>
        <v>2212.3000000000002</v>
      </c>
      <c r="Q24" s="55">
        <f>SUM(Q15:Q21)</f>
        <v>14899</v>
      </c>
      <c r="R24" s="55">
        <f>SUM(R15:R21)</f>
        <v>1282</v>
      </c>
      <c r="S24" s="56">
        <f>SUM(P24:R24)</f>
        <v>18393.3</v>
      </c>
      <c r="T24" s="57">
        <f>SUM(T15:T21)</f>
        <v>201</v>
      </c>
      <c r="U24" s="57">
        <f>SUM(U15:U21)</f>
        <v>18594.3</v>
      </c>
      <c r="V24" s="54">
        <f>SUM(V15:V21)</f>
        <v>3910</v>
      </c>
      <c r="W24" s="55">
        <f>SUM(W15:W21)</f>
        <v>32560</v>
      </c>
      <c r="X24" s="55">
        <f>SUM(X15:X21)</f>
        <v>2500</v>
      </c>
      <c r="Y24" s="56">
        <f>SUM(V24:X24)</f>
        <v>38970</v>
      </c>
      <c r="Z24" s="57">
        <f>SUM(Z15:Z21)</f>
        <v>280</v>
      </c>
      <c r="AA24" s="57">
        <f>SUM(AA15:AA21)</f>
        <v>39250</v>
      </c>
      <c r="AB24" s="58">
        <f t="shared" si="7"/>
        <v>1.0881619074022733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439</v>
      </c>
      <c r="E28" s="65"/>
      <c r="F28" s="65"/>
      <c r="G28" s="66">
        <f>SUM(D28:F28)</f>
        <v>439</v>
      </c>
      <c r="H28" s="66"/>
      <c r="I28" s="67">
        <f>G28+H28</f>
        <v>439</v>
      </c>
      <c r="J28" s="65">
        <v>427</v>
      </c>
      <c r="K28" s="65"/>
      <c r="L28" s="65">
        <v>100</v>
      </c>
      <c r="M28" s="66">
        <f>SUM(J28:L28)</f>
        <v>527</v>
      </c>
      <c r="N28" s="66"/>
      <c r="O28" s="67">
        <f>M28+N28</f>
        <v>527</v>
      </c>
      <c r="P28" s="68">
        <v>212</v>
      </c>
      <c r="Q28" s="65"/>
      <c r="R28" s="65"/>
      <c r="S28" s="66">
        <f>SUM(P28:R28)</f>
        <v>212</v>
      </c>
      <c r="T28" s="66"/>
      <c r="U28" s="67">
        <f>S28+T28</f>
        <v>212</v>
      </c>
      <c r="V28" s="182">
        <v>420</v>
      </c>
      <c r="W28" s="183"/>
      <c r="X28" s="183">
        <v>100</v>
      </c>
      <c r="Y28" s="66">
        <f>SUM(V28:X28)</f>
        <v>520</v>
      </c>
      <c r="Z28" s="66"/>
      <c r="AA28" s="67">
        <f>Y28+Z28</f>
        <v>520</v>
      </c>
      <c r="AB28" s="21">
        <f t="shared" ref="AB28:AB41" si="12">(AA28/O28)</f>
        <v>0.98671726755218214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927</v>
      </c>
      <c r="E29" s="70"/>
      <c r="F29" s="70">
        <v>1854</v>
      </c>
      <c r="G29" s="71">
        <f t="shared" ref="G29:G38" si="13">SUM(D29:F29)</f>
        <v>2781</v>
      </c>
      <c r="H29" s="72">
        <v>25</v>
      </c>
      <c r="I29" s="20">
        <f t="shared" ref="I29:I38" si="14">G29+H29</f>
        <v>2806</v>
      </c>
      <c r="J29" s="70">
        <v>359</v>
      </c>
      <c r="K29" s="70"/>
      <c r="L29" s="70">
        <v>1993</v>
      </c>
      <c r="M29" s="71">
        <f t="shared" ref="M29:M38" si="15">SUM(J29:L29)</f>
        <v>2352</v>
      </c>
      <c r="N29" s="72">
        <v>22</v>
      </c>
      <c r="O29" s="20">
        <f t="shared" ref="O29:O38" si="16">M29+N29</f>
        <v>2374</v>
      </c>
      <c r="P29" s="73">
        <v>341</v>
      </c>
      <c r="Q29" s="70"/>
      <c r="R29" s="70">
        <v>1193</v>
      </c>
      <c r="S29" s="71">
        <f t="shared" ref="S29:S38" si="17">SUM(P29:R29)</f>
        <v>1534</v>
      </c>
      <c r="T29" s="72"/>
      <c r="U29" s="20">
        <f t="shared" ref="U29:U38" si="18">S29+T29</f>
        <v>1534</v>
      </c>
      <c r="V29" s="184">
        <v>160</v>
      </c>
      <c r="W29" s="185"/>
      <c r="X29" s="185">
        <v>2200</v>
      </c>
      <c r="Y29" s="71">
        <f t="shared" ref="Y29:Y38" si="19">SUM(V29:X29)</f>
        <v>2360</v>
      </c>
      <c r="Z29" s="72">
        <v>22</v>
      </c>
      <c r="AA29" s="20">
        <f t="shared" ref="AA29:AA38" si="20">Y29+Z29</f>
        <v>2382</v>
      </c>
      <c r="AB29" s="21">
        <f t="shared" si="12"/>
        <v>1.0033698399326032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1360</v>
      </c>
      <c r="E30" s="74"/>
      <c r="F30" s="74" t="s">
        <v>56</v>
      </c>
      <c r="G30" s="71">
        <f t="shared" si="13"/>
        <v>1360</v>
      </c>
      <c r="H30" s="71">
        <v>312</v>
      </c>
      <c r="I30" s="20">
        <f t="shared" si="14"/>
        <v>1672</v>
      </c>
      <c r="J30" s="74">
        <v>1507</v>
      </c>
      <c r="K30" s="74"/>
      <c r="L30" s="74">
        <v>208</v>
      </c>
      <c r="M30" s="71">
        <f t="shared" si="15"/>
        <v>1715</v>
      </c>
      <c r="N30" s="71">
        <v>258</v>
      </c>
      <c r="O30" s="20">
        <f t="shared" si="16"/>
        <v>1973</v>
      </c>
      <c r="P30" s="75">
        <v>1192</v>
      </c>
      <c r="Q30" s="74"/>
      <c r="R30" s="74">
        <v>89</v>
      </c>
      <c r="S30" s="71">
        <f t="shared" si="17"/>
        <v>1281</v>
      </c>
      <c r="T30" s="71"/>
      <c r="U30" s="20">
        <f t="shared" si="18"/>
        <v>1281</v>
      </c>
      <c r="V30" s="184">
        <v>1950</v>
      </c>
      <c r="W30" s="185"/>
      <c r="X30" s="185"/>
      <c r="Y30" s="71">
        <f t="shared" si="19"/>
        <v>1950</v>
      </c>
      <c r="Z30" s="71">
        <v>258</v>
      </c>
      <c r="AA30" s="20">
        <f t="shared" si="20"/>
        <v>2208</v>
      </c>
      <c r="AB30" s="21">
        <f t="shared" si="12"/>
        <v>1.1191079574252407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832</v>
      </c>
      <c r="E31" s="74"/>
      <c r="F31" s="74"/>
      <c r="G31" s="71">
        <f t="shared" si="13"/>
        <v>832</v>
      </c>
      <c r="H31" s="71"/>
      <c r="I31" s="20">
        <f t="shared" si="14"/>
        <v>832</v>
      </c>
      <c r="J31" s="74">
        <v>764</v>
      </c>
      <c r="K31" s="74"/>
      <c r="L31" s="74">
        <v>179</v>
      </c>
      <c r="M31" s="71">
        <f t="shared" si="15"/>
        <v>943</v>
      </c>
      <c r="N31" s="71"/>
      <c r="O31" s="20">
        <f t="shared" si="16"/>
        <v>943</v>
      </c>
      <c r="P31" s="75">
        <v>406</v>
      </c>
      <c r="Q31" s="74"/>
      <c r="R31" s="74"/>
      <c r="S31" s="71">
        <f t="shared" si="17"/>
        <v>406</v>
      </c>
      <c r="T31" s="71"/>
      <c r="U31" s="20">
        <f t="shared" si="18"/>
        <v>406</v>
      </c>
      <c r="V31" s="184">
        <v>840</v>
      </c>
      <c r="W31" s="185"/>
      <c r="X31" s="185">
        <v>100</v>
      </c>
      <c r="Y31" s="71">
        <f t="shared" si="19"/>
        <v>940</v>
      </c>
      <c r="Z31" s="71"/>
      <c r="AA31" s="20">
        <f t="shared" si="20"/>
        <v>940</v>
      </c>
      <c r="AB31" s="21">
        <f t="shared" si="12"/>
        <v>0.99681866383881235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 t="s">
        <v>56</v>
      </c>
      <c r="E32" s="74">
        <v>20119</v>
      </c>
      <c r="F32" s="74"/>
      <c r="G32" s="71">
        <f t="shared" si="13"/>
        <v>20119</v>
      </c>
      <c r="H32" s="71"/>
      <c r="I32" s="20">
        <f t="shared" si="14"/>
        <v>20119</v>
      </c>
      <c r="J32" s="76" t="s">
        <v>56</v>
      </c>
      <c r="K32" s="74">
        <v>21480</v>
      </c>
      <c r="L32" s="74"/>
      <c r="M32" s="71">
        <f t="shared" si="15"/>
        <v>21480</v>
      </c>
      <c r="N32" s="71"/>
      <c r="O32" s="20">
        <f t="shared" si="16"/>
        <v>21480</v>
      </c>
      <c r="P32" s="77"/>
      <c r="Q32" s="74">
        <v>10254</v>
      </c>
      <c r="R32" s="74"/>
      <c r="S32" s="71">
        <f t="shared" si="17"/>
        <v>10254</v>
      </c>
      <c r="T32" s="71"/>
      <c r="U32" s="20">
        <f t="shared" si="18"/>
        <v>10254</v>
      </c>
      <c r="V32" s="186"/>
      <c r="W32" s="185">
        <v>24299</v>
      </c>
      <c r="X32" s="185"/>
      <c r="Y32" s="71">
        <f t="shared" si="19"/>
        <v>24299</v>
      </c>
      <c r="Z32" s="71"/>
      <c r="AA32" s="20">
        <f t="shared" si="20"/>
        <v>24299</v>
      </c>
      <c r="AB32" s="21">
        <f t="shared" si="12"/>
        <v>1.1312383612662942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 t="s">
        <v>56</v>
      </c>
      <c r="E33" s="74">
        <v>20039</v>
      </c>
      <c r="F33" s="74"/>
      <c r="G33" s="71">
        <v>20039</v>
      </c>
      <c r="H33" s="71"/>
      <c r="I33" s="20">
        <f t="shared" si="14"/>
        <v>20039</v>
      </c>
      <c r="J33" s="76" t="s">
        <v>56</v>
      </c>
      <c r="K33" s="74">
        <v>21410</v>
      </c>
      <c r="L33" s="74"/>
      <c r="M33" s="71">
        <f t="shared" si="15"/>
        <v>21410</v>
      </c>
      <c r="N33" s="71"/>
      <c r="O33" s="20">
        <f t="shared" si="16"/>
        <v>21410</v>
      </c>
      <c r="P33" s="77"/>
      <c r="Q33" s="74">
        <v>10243</v>
      </c>
      <c r="R33" s="74"/>
      <c r="S33" s="71">
        <f t="shared" si="17"/>
        <v>10243</v>
      </c>
      <c r="T33" s="71"/>
      <c r="U33" s="20">
        <f t="shared" si="18"/>
        <v>10243</v>
      </c>
      <c r="V33" s="186"/>
      <c r="W33" s="185">
        <v>24279</v>
      </c>
      <c r="X33" s="185"/>
      <c r="Y33" s="71">
        <f t="shared" si="19"/>
        <v>24279</v>
      </c>
      <c r="Z33" s="71"/>
      <c r="AA33" s="20">
        <f t="shared" si="20"/>
        <v>24279</v>
      </c>
      <c r="AB33" s="21">
        <f t="shared" si="12"/>
        <v>1.1340028024287716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 t="s">
        <v>56</v>
      </c>
      <c r="E34" s="74">
        <v>80</v>
      </c>
      <c r="F34" s="74"/>
      <c r="G34" s="71">
        <f t="shared" si="13"/>
        <v>80</v>
      </c>
      <c r="H34" s="71"/>
      <c r="I34" s="20">
        <f t="shared" si="14"/>
        <v>80</v>
      </c>
      <c r="J34" s="76" t="s">
        <v>56</v>
      </c>
      <c r="K34" s="74">
        <v>70</v>
      </c>
      <c r="L34" s="74"/>
      <c r="M34" s="71">
        <f>SUM(J34:L34)</f>
        <v>70</v>
      </c>
      <c r="N34" s="71"/>
      <c r="O34" s="20">
        <f t="shared" si="16"/>
        <v>70</v>
      </c>
      <c r="P34" s="77" t="s">
        <v>56</v>
      </c>
      <c r="Q34" s="74">
        <v>11</v>
      </c>
      <c r="R34" s="74"/>
      <c r="S34" s="71">
        <f t="shared" si="17"/>
        <v>11</v>
      </c>
      <c r="T34" s="71"/>
      <c r="U34" s="20">
        <f t="shared" si="18"/>
        <v>11</v>
      </c>
      <c r="V34" s="186" t="s">
        <v>56</v>
      </c>
      <c r="W34" s="185">
        <v>70</v>
      </c>
      <c r="X34" s="185"/>
      <c r="Y34" s="71">
        <f t="shared" si="19"/>
        <v>70</v>
      </c>
      <c r="Z34" s="71"/>
      <c r="AA34" s="20">
        <f t="shared" si="20"/>
        <v>70</v>
      </c>
      <c r="AB34" s="21">
        <f t="shared" si="12"/>
        <v>1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 t="s">
        <v>56</v>
      </c>
      <c r="E35" s="74">
        <v>6987</v>
      </c>
      <c r="F35" s="74"/>
      <c r="G35" s="71">
        <f t="shared" si="13"/>
        <v>6987</v>
      </c>
      <c r="H35" s="71"/>
      <c r="I35" s="20">
        <f t="shared" si="14"/>
        <v>6987</v>
      </c>
      <c r="J35" s="76" t="s">
        <v>56</v>
      </c>
      <c r="K35" s="74">
        <v>8120</v>
      </c>
      <c r="L35" s="74"/>
      <c r="M35" s="71">
        <f t="shared" si="15"/>
        <v>8120</v>
      </c>
      <c r="N35" s="71"/>
      <c r="O35" s="20">
        <f t="shared" si="16"/>
        <v>8120</v>
      </c>
      <c r="P35" s="77">
        <v>0</v>
      </c>
      <c r="Q35" s="74">
        <v>3513</v>
      </c>
      <c r="R35" s="74"/>
      <c r="S35" s="71">
        <f t="shared" si="17"/>
        <v>3513</v>
      </c>
      <c r="T35" s="71"/>
      <c r="U35" s="20">
        <f t="shared" si="18"/>
        <v>3513</v>
      </c>
      <c r="V35" s="186"/>
      <c r="W35" s="185">
        <v>8261</v>
      </c>
      <c r="X35" s="185"/>
      <c r="Y35" s="71">
        <f t="shared" si="19"/>
        <v>8261</v>
      </c>
      <c r="Z35" s="71"/>
      <c r="AA35" s="20">
        <f t="shared" si="20"/>
        <v>8261</v>
      </c>
      <c r="AB35" s="21">
        <f t="shared" si="12"/>
        <v>1.0173645320197044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 t="s">
        <v>56</v>
      </c>
      <c r="E36" s="74">
        <v>0</v>
      </c>
      <c r="F36" s="74"/>
      <c r="G36" s="71">
        <f t="shared" si="13"/>
        <v>0</v>
      </c>
      <c r="H36" s="71"/>
      <c r="I36" s="20">
        <f t="shared" si="14"/>
        <v>0</v>
      </c>
      <c r="J36" s="74" t="s">
        <v>56</v>
      </c>
      <c r="K36" s="74"/>
      <c r="L36" s="74"/>
      <c r="M36" s="71">
        <f t="shared" si="15"/>
        <v>0</v>
      </c>
      <c r="N36" s="71"/>
      <c r="O36" s="20">
        <f t="shared" si="16"/>
        <v>0</v>
      </c>
      <c r="P36" s="75"/>
      <c r="Q36" s="74"/>
      <c r="R36" s="74"/>
      <c r="S36" s="71">
        <f t="shared" si="17"/>
        <v>0</v>
      </c>
      <c r="T36" s="71"/>
      <c r="U36" s="20">
        <f t="shared" si="18"/>
        <v>0</v>
      </c>
      <c r="V36" s="184"/>
      <c r="W36" s="185"/>
      <c r="X36" s="185"/>
      <c r="Y36" s="71">
        <f t="shared" si="19"/>
        <v>0</v>
      </c>
      <c r="Z36" s="71"/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306</v>
      </c>
      <c r="E37" s="74">
        <v>0</v>
      </c>
      <c r="F37" s="74"/>
      <c r="G37" s="71">
        <f t="shared" si="13"/>
        <v>306</v>
      </c>
      <c r="H37" s="71"/>
      <c r="I37" s="20">
        <f t="shared" si="14"/>
        <v>306</v>
      </c>
      <c r="J37" s="74">
        <v>255</v>
      </c>
      <c r="K37" s="74"/>
      <c r="L37" s="74"/>
      <c r="M37" s="71">
        <f t="shared" si="15"/>
        <v>255</v>
      </c>
      <c r="N37" s="71"/>
      <c r="O37" s="20">
        <f t="shared" si="16"/>
        <v>255</v>
      </c>
      <c r="P37" s="75">
        <v>174</v>
      </c>
      <c r="Q37" s="74"/>
      <c r="R37" s="74"/>
      <c r="S37" s="71">
        <f t="shared" si="17"/>
        <v>174</v>
      </c>
      <c r="T37" s="71"/>
      <c r="U37" s="20">
        <f t="shared" si="18"/>
        <v>174</v>
      </c>
      <c r="V37" s="184">
        <v>255</v>
      </c>
      <c r="W37" s="185"/>
      <c r="X37" s="185"/>
      <c r="Y37" s="71">
        <f t="shared" si="19"/>
        <v>255</v>
      </c>
      <c r="Z37" s="71"/>
      <c r="AA37" s="20">
        <f t="shared" si="20"/>
        <v>255</v>
      </c>
      <c r="AB37" s="21">
        <f t="shared" si="12"/>
        <v>1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778</v>
      </c>
      <c r="E38" s="81">
        <v>779</v>
      </c>
      <c r="F38" s="81">
        <v>0</v>
      </c>
      <c r="G38" s="71">
        <f t="shared" si="13"/>
        <v>1557</v>
      </c>
      <c r="H38" s="82"/>
      <c r="I38" s="50">
        <f t="shared" si="14"/>
        <v>1557</v>
      </c>
      <c r="J38" s="81">
        <v>398</v>
      </c>
      <c r="K38" s="81"/>
      <c r="L38" s="81"/>
      <c r="M38" s="82">
        <f t="shared" si="15"/>
        <v>398</v>
      </c>
      <c r="N38" s="82"/>
      <c r="O38" s="50">
        <f t="shared" si="16"/>
        <v>398</v>
      </c>
      <c r="P38" s="83">
        <v>847.9</v>
      </c>
      <c r="Q38" s="81"/>
      <c r="R38" s="81"/>
      <c r="S38" s="82">
        <f t="shared" si="17"/>
        <v>847.9</v>
      </c>
      <c r="T38" s="82"/>
      <c r="U38" s="50">
        <f t="shared" si="18"/>
        <v>847.9</v>
      </c>
      <c r="V38" s="187">
        <v>285</v>
      </c>
      <c r="W38" s="188"/>
      <c r="X38" s="188">
        <v>100</v>
      </c>
      <c r="Y38" s="82">
        <f t="shared" si="19"/>
        <v>385</v>
      </c>
      <c r="Z38" s="82"/>
      <c r="AA38" s="50">
        <f t="shared" si="20"/>
        <v>385</v>
      </c>
      <c r="AB38" s="51">
        <f t="shared" si="12"/>
        <v>0.96733668341708545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4642</v>
      </c>
      <c r="E39" s="85">
        <f>SUM(E35:E38)+SUM(E28:E32)</f>
        <v>27885</v>
      </c>
      <c r="F39" s="85">
        <f>SUM(F35:F38)+SUM(F28:F32)</f>
        <v>1854</v>
      </c>
      <c r="G39" s="86">
        <f>SUM(D39:F39)</f>
        <v>34381</v>
      </c>
      <c r="H39" s="87">
        <f>SUM(H28:H32)+SUM(H35:H38)</f>
        <v>337</v>
      </c>
      <c r="I39" s="88">
        <f>SUM(I35:I38)+SUM(I28:I32)</f>
        <v>34718</v>
      </c>
      <c r="J39" s="85">
        <f>SUM(J35:J38)+SUM(J28:J32)</f>
        <v>3710</v>
      </c>
      <c r="K39" s="85">
        <f>SUM(K35:K38)+SUM(K28:K32)</f>
        <v>29600</v>
      </c>
      <c r="L39" s="85">
        <f>SUM(L35:L38)+SUM(L28:L32)</f>
        <v>2480</v>
      </c>
      <c r="M39" s="86">
        <f>SUM(J39:L39)</f>
        <v>35790</v>
      </c>
      <c r="N39" s="87">
        <f>SUM(N28:N32)+SUM(N35:N38)</f>
        <v>280</v>
      </c>
      <c r="O39" s="88">
        <f>SUM(O35:O38)+SUM(O28:O32)</f>
        <v>36070</v>
      </c>
      <c r="P39" s="85">
        <f>SUM(P35:P38)+SUM(P28:P32)</f>
        <v>3172.9</v>
      </c>
      <c r="Q39" s="85">
        <f>SUM(Q35:Q38)+SUM(Q28:Q32)</f>
        <v>13767</v>
      </c>
      <c r="R39" s="85">
        <f>SUM(R35:R38)+SUM(R28:R32)</f>
        <v>1282</v>
      </c>
      <c r="S39" s="86">
        <f>SUM(P39:R39)</f>
        <v>18221.900000000001</v>
      </c>
      <c r="T39" s="87">
        <f>SUM(T28:T32)+SUM(T35:T38)</f>
        <v>0</v>
      </c>
      <c r="U39" s="88">
        <f>SUM(U35:U38)+SUM(U28:U32)</f>
        <v>18221.900000000001</v>
      </c>
      <c r="V39" s="85">
        <f>SUM(V35:V38)+SUM(V28:V32)</f>
        <v>3910</v>
      </c>
      <c r="W39" s="85">
        <f>SUM(W35:W38)+SUM(W28:W32)</f>
        <v>32560</v>
      </c>
      <c r="X39" s="85">
        <f>SUM(X35:X38)+SUM(X28:X32)</f>
        <v>2500</v>
      </c>
      <c r="Y39" s="86">
        <f>SUM(V39:X39)</f>
        <v>38970</v>
      </c>
      <c r="Z39" s="87">
        <f>SUM(Z28:Z32)+SUM(Z35:Z38)</f>
        <v>280</v>
      </c>
      <c r="AA39" s="88">
        <f>SUM(AA35:AA38)+SUM(AA28:AA32)</f>
        <v>39250</v>
      </c>
      <c r="AB39" s="89">
        <f t="shared" si="12"/>
        <v>1.0881619074022733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0</v>
      </c>
      <c r="E40" s="92">
        <f t="shared" si="21"/>
        <v>0</v>
      </c>
      <c r="F40" s="92">
        <f t="shared" si="21"/>
        <v>203</v>
      </c>
      <c r="G40" s="93">
        <f t="shared" si="21"/>
        <v>203</v>
      </c>
      <c r="H40" s="93">
        <f t="shared" si="21"/>
        <v>6</v>
      </c>
      <c r="I40" s="94">
        <f t="shared" si="21"/>
        <v>209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-960.59999999999991</v>
      </c>
      <c r="Q40" s="92">
        <f t="shared" si="21"/>
        <v>1132</v>
      </c>
      <c r="R40" s="92">
        <f t="shared" si="21"/>
        <v>0</v>
      </c>
      <c r="S40" s="93">
        <f t="shared" si="21"/>
        <v>171.39999999999782</v>
      </c>
      <c r="T40" s="93">
        <f t="shared" si="21"/>
        <v>201</v>
      </c>
      <c r="U40" s="94">
        <f t="shared" si="21"/>
        <v>372.39999999999782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-3501</v>
      </c>
      <c r="J41" s="98"/>
      <c r="K41" s="99"/>
      <c r="L41" s="99"/>
      <c r="M41" s="100"/>
      <c r="N41" s="103"/>
      <c r="O41" s="102">
        <f>O40-J16</f>
        <v>-3710</v>
      </c>
      <c r="P41" s="98"/>
      <c r="Q41" s="99"/>
      <c r="R41" s="99"/>
      <c r="S41" s="100"/>
      <c r="T41" s="103"/>
      <c r="U41" s="102">
        <f>U40-P16</f>
        <v>-1427.6000000000022</v>
      </c>
      <c r="V41" s="98"/>
      <c r="W41" s="99"/>
      <c r="X41" s="99"/>
      <c r="Y41" s="100"/>
      <c r="Z41" s="103"/>
      <c r="AA41" s="102">
        <f>AA40-V16</f>
        <v>-3910</v>
      </c>
      <c r="AB41" s="21">
        <f t="shared" si="12"/>
        <v>1.0539083557951483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271</v>
      </c>
      <c r="E44" s="117">
        <v>271</v>
      </c>
      <c r="F44" s="118">
        <v>0</v>
      </c>
      <c r="G44" s="108"/>
      <c r="H44" s="108"/>
      <c r="I44" s="115"/>
      <c r="J44" s="116">
        <v>251.8</v>
      </c>
      <c r="K44" s="117">
        <v>251.8</v>
      </c>
      <c r="L44" s="118">
        <v>0</v>
      </c>
      <c r="M44" s="119"/>
      <c r="N44" s="119"/>
      <c r="O44" s="119"/>
      <c r="P44" s="116">
        <v>125.9</v>
      </c>
      <c r="Q44" s="117">
        <v>125.9</v>
      </c>
      <c r="R44" s="118">
        <v>0</v>
      </c>
      <c r="S44" s="3"/>
      <c r="T44" s="3"/>
      <c r="U44" s="3"/>
      <c r="V44" s="116">
        <v>251</v>
      </c>
      <c r="W44" s="117">
        <v>251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91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>
        <v>3696</v>
      </c>
      <c r="E50" s="129">
        <v>833</v>
      </c>
      <c r="F50" s="129">
        <v>1624</v>
      </c>
      <c r="G50" s="130">
        <f>D50+E50-F50</f>
        <v>2905</v>
      </c>
      <c r="H50" s="108"/>
      <c r="I50" s="3"/>
      <c r="J50" s="130">
        <f>G50+H50-I50</f>
        <v>2905</v>
      </c>
      <c r="K50" s="129">
        <v>762</v>
      </c>
      <c r="L50" s="129">
        <v>1424</v>
      </c>
      <c r="M50" s="130">
        <v>2243</v>
      </c>
      <c r="N50" s="3"/>
      <c r="O50" s="3"/>
      <c r="P50" s="130">
        <v>2905</v>
      </c>
      <c r="Q50" s="129">
        <v>388</v>
      </c>
      <c r="R50" s="129">
        <v>419</v>
      </c>
      <c r="S50" s="130">
        <f>P50+Q50-R50</f>
        <v>2874</v>
      </c>
      <c r="T50" s="3"/>
      <c r="U50" s="3"/>
      <c r="V50" s="189">
        <f>S50+T50-U50</f>
        <v>2874</v>
      </c>
      <c r="W50" s="190">
        <v>897</v>
      </c>
      <c r="X50" s="190">
        <v>1230</v>
      </c>
      <c r="Y50" s="189">
        <f>V50+W50-X50</f>
        <v>2541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886</v>
      </c>
      <c r="E51" s="129">
        <v>50</v>
      </c>
      <c r="F51" s="129">
        <v>385</v>
      </c>
      <c r="G51" s="130">
        <f t="shared" ref="G51:G54" si="22">D51+E51-F51</f>
        <v>551</v>
      </c>
      <c r="H51" s="108"/>
      <c r="I51" s="3"/>
      <c r="J51" s="130">
        <f t="shared" ref="J51:J54" si="23">G51+H51-I51</f>
        <v>551</v>
      </c>
      <c r="K51" s="129">
        <v>50</v>
      </c>
      <c r="L51" s="129">
        <v>200</v>
      </c>
      <c r="M51" s="130">
        <v>401</v>
      </c>
      <c r="N51" s="3"/>
      <c r="O51" s="3"/>
      <c r="P51" s="130">
        <v>551</v>
      </c>
      <c r="Q51" s="129">
        <v>10</v>
      </c>
      <c r="R51" s="129">
        <v>15</v>
      </c>
      <c r="S51" s="130">
        <f t="shared" ref="S51:S54" si="24">P51+Q51-R51</f>
        <v>546</v>
      </c>
      <c r="T51" s="3"/>
      <c r="U51" s="3"/>
      <c r="V51" s="189">
        <f t="shared" ref="V51:V54" si="25">S51+T51-U51</f>
        <v>546</v>
      </c>
      <c r="W51" s="190">
        <v>50</v>
      </c>
      <c r="X51" s="190">
        <v>100</v>
      </c>
      <c r="Y51" s="189">
        <f t="shared" ref="Y51:Y54" si="26">V51+W51-X51</f>
        <v>496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1929</v>
      </c>
      <c r="E52" s="129">
        <v>306</v>
      </c>
      <c r="F52" s="129">
        <v>673</v>
      </c>
      <c r="G52" s="130">
        <f t="shared" si="22"/>
        <v>1562</v>
      </c>
      <c r="H52" s="108"/>
      <c r="I52" s="3"/>
      <c r="J52" s="130">
        <f t="shared" si="23"/>
        <v>1562</v>
      </c>
      <c r="K52" s="129">
        <v>312</v>
      </c>
      <c r="L52" s="129">
        <v>495</v>
      </c>
      <c r="M52" s="130">
        <v>1379</v>
      </c>
      <c r="N52" s="3"/>
      <c r="O52" s="3"/>
      <c r="P52" s="130">
        <v>1562</v>
      </c>
      <c r="Q52" s="129">
        <v>174</v>
      </c>
      <c r="R52" s="129">
        <v>267</v>
      </c>
      <c r="S52" s="130">
        <f t="shared" si="24"/>
        <v>1469</v>
      </c>
      <c r="T52" s="3"/>
      <c r="U52" s="3"/>
      <c r="V52" s="189">
        <f t="shared" si="25"/>
        <v>1469</v>
      </c>
      <c r="W52" s="190">
        <v>312</v>
      </c>
      <c r="X52" s="190">
        <v>200</v>
      </c>
      <c r="Y52" s="189">
        <f t="shared" si="26"/>
        <v>1581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471</v>
      </c>
      <c r="E53" s="129">
        <v>75</v>
      </c>
      <c r="F53" s="129">
        <v>214</v>
      </c>
      <c r="G53" s="130">
        <v>332</v>
      </c>
      <c r="H53" s="108"/>
      <c r="I53" s="3"/>
      <c r="J53" s="130">
        <f t="shared" si="23"/>
        <v>332</v>
      </c>
      <c r="K53" s="129">
        <v>50</v>
      </c>
      <c r="L53" s="129">
        <v>100</v>
      </c>
      <c r="M53" s="130">
        <v>282</v>
      </c>
      <c r="N53" s="3"/>
      <c r="O53" s="3"/>
      <c r="P53" s="130">
        <v>332</v>
      </c>
      <c r="Q53" s="129">
        <v>0</v>
      </c>
      <c r="R53" s="129">
        <v>0</v>
      </c>
      <c r="S53" s="130">
        <f t="shared" si="24"/>
        <v>332</v>
      </c>
      <c r="T53" s="3"/>
      <c r="U53" s="3"/>
      <c r="V53" s="189">
        <f t="shared" si="25"/>
        <v>332</v>
      </c>
      <c r="W53" s="190">
        <v>50</v>
      </c>
      <c r="X53" s="190">
        <v>100</v>
      </c>
      <c r="Y53" s="189">
        <f t="shared" si="26"/>
        <v>282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410</v>
      </c>
      <c r="E54" s="129">
        <v>402</v>
      </c>
      <c r="F54" s="129">
        <v>352</v>
      </c>
      <c r="G54" s="130">
        <f t="shared" si="22"/>
        <v>460</v>
      </c>
      <c r="H54" s="108"/>
      <c r="I54" s="3"/>
      <c r="J54" s="130">
        <f t="shared" si="23"/>
        <v>460</v>
      </c>
      <c r="K54" s="129">
        <v>350</v>
      </c>
      <c r="L54" s="129">
        <v>629</v>
      </c>
      <c r="M54" s="130">
        <v>181</v>
      </c>
      <c r="N54" s="3"/>
      <c r="O54" s="3"/>
      <c r="P54" s="130">
        <v>460</v>
      </c>
      <c r="Q54" s="129">
        <v>204</v>
      </c>
      <c r="R54" s="129">
        <v>137</v>
      </c>
      <c r="S54" s="130">
        <f t="shared" si="24"/>
        <v>527</v>
      </c>
      <c r="T54" s="3"/>
      <c r="U54" s="3"/>
      <c r="V54" s="189">
        <f t="shared" si="25"/>
        <v>527</v>
      </c>
      <c r="W54" s="190">
        <v>485</v>
      </c>
      <c r="X54" s="190">
        <v>830</v>
      </c>
      <c r="Y54" s="189">
        <f t="shared" si="26"/>
        <v>182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53.6</v>
      </c>
      <c r="E57" s="132">
        <v>53.5</v>
      </c>
      <c r="F57" s="108"/>
      <c r="G57" s="108"/>
      <c r="H57" s="108"/>
      <c r="I57" s="115"/>
      <c r="J57" s="132">
        <v>55</v>
      </c>
      <c r="K57" s="108"/>
      <c r="L57" s="108"/>
      <c r="M57" s="108"/>
      <c r="N57" s="108"/>
      <c r="O57" s="115"/>
      <c r="P57" s="132">
        <v>53</v>
      </c>
      <c r="Q57" s="115"/>
      <c r="R57" s="115"/>
      <c r="S57" s="115"/>
      <c r="T57" s="115"/>
      <c r="U57" s="115"/>
      <c r="V57" s="132">
        <v>55</v>
      </c>
      <c r="W57" s="3"/>
      <c r="X57" s="3"/>
      <c r="Y57" s="3" t="s">
        <v>56</v>
      </c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43704</v>
      </c>
      <c r="D91" s="156" t="s">
        <v>105</v>
      </c>
      <c r="E91" s="313" t="s">
        <v>153</v>
      </c>
      <c r="F91" s="313"/>
      <c r="G91" s="313"/>
      <c r="H91" s="156"/>
      <c r="I91" s="156" t="s">
        <v>107</v>
      </c>
      <c r="J91" s="314" t="s">
        <v>154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33" priority="3" operator="equal">
      <formula>0</formula>
    </cfRule>
    <cfRule type="containsErrors" dxfId="32" priority="4">
      <formula>ISERROR(AB15)</formula>
    </cfRule>
  </conditionalFormatting>
  <conditionalFormatting sqref="AB28:AB41">
    <cfRule type="cellIs" dxfId="31" priority="1" operator="equal">
      <formula>0</formula>
    </cfRule>
    <cfRule type="containsErrors" dxfId="3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topLeftCell="D1" zoomScale="80" zoomScaleNormal="80" zoomScaleSheetLayoutView="80" workbookViewId="0">
      <selection activeCell="E54" sqref="E5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1.28515625" customWidth="1"/>
    <col min="10" max="10" width="16.140625" customWidth="1"/>
    <col min="11" max="11" width="17.85546875" customWidth="1"/>
    <col min="12" max="12" width="13.7109375" customWidth="1"/>
    <col min="13" max="13" width="23.42578125" style="160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4.85546875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155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 t="s">
        <v>156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67" t="s">
        <v>157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9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24</v>
      </c>
      <c r="D15" s="15"/>
      <c r="E15" s="16"/>
      <c r="F15" s="191">
        <v>2277.5</v>
      </c>
      <c r="G15" s="18">
        <f>SUM(D15:F15)</f>
        <v>2277.5</v>
      </c>
      <c r="H15" s="19">
        <v>292.2</v>
      </c>
      <c r="I15" s="20">
        <f>G15+H15</f>
        <v>2569.6999999999998</v>
      </c>
      <c r="J15" s="15"/>
      <c r="K15" s="16"/>
      <c r="L15" s="17">
        <v>2045</v>
      </c>
      <c r="M15" s="18">
        <f t="shared" ref="M15:M23" si="0">SUM(J15:L15)</f>
        <v>2045</v>
      </c>
      <c r="N15" s="19">
        <v>273</v>
      </c>
      <c r="O15" s="20">
        <f>M15+N15</f>
        <v>2318</v>
      </c>
      <c r="P15" s="15"/>
      <c r="Q15" s="16"/>
      <c r="R15" s="17">
        <v>1350.9</v>
      </c>
      <c r="S15" s="18">
        <f>SUM(P15:R15)</f>
        <v>1350.9</v>
      </c>
      <c r="T15" s="19">
        <v>165.4</v>
      </c>
      <c r="U15" s="20">
        <f>S15+T15</f>
        <v>1516.3000000000002</v>
      </c>
      <c r="V15" s="15">
        <v>0</v>
      </c>
      <c r="W15" s="16"/>
      <c r="X15" s="17">
        <v>1870</v>
      </c>
      <c r="Y15" s="18">
        <f>SUM(V15:X15)</f>
        <v>1870</v>
      </c>
      <c r="Z15" s="19">
        <v>315</v>
      </c>
      <c r="AA15" s="20">
        <f>Y15+Z15</f>
        <v>2185</v>
      </c>
      <c r="AB15" s="21">
        <f>(AA15/O15)</f>
        <v>0.94262295081967218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4811</v>
      </c>
      <c r="E16" s="25"/>
      <c r="F16" s="25"/>
      <c r="G16" s="26">
        <f t="shared" ref="G16:G23" si="1">SUM(D16:F16)</f>
        <v>4811</v>
      </c>
      <c r="H16" s="27"/>
      <c r="I16" s="20">
        <f t="shared" ref="I16:I23" si="2">G16+H16</f>
        <v>4811</v>
      </c>
      <c r="J16" s="24">
        <v>4773</v>
      </c>
      <c r="K16" s="25"/>
      <c r="L16" s="25"/>
      <c r="M16" s="26">
        <f t="shared" si="0"/>
        <v>4773</v>
      </c>
      <c r="N16" s="27"/>
      <c r="O16" s="20">
        <f t="shared" ref="O16:O20" si="3">M16+N16</f>
        <v>4773</v>
      </c>
      <c r="P16" s="24">
        <v>2403.6</v>
      </c>
      <c r="Q16" s="25"/>
      <c r="R16" s="25"/>
      <c r="S16" s="26">
        <f t="shared" ref="S16:S23" si="4">SUM(P16:R16)</f>
        <v>2403.6</v>
      </c>
      <c r="T16" s="27"/>
      <c r="U16" s="20">
        <f t="shared" ref="U16:U20" si="5">S16+T16</f>
        <v>2403.6</v>
      </c>
      <c r="V16" s="24">
        <v>5145</v>
      </c>
      <c r="W16" s="25"/>
      <c r="X16" s="25"/>
      <c r="Y16" s="26">
        <f t="shared" ref="Y16:Y23" si="6">SUM(V16:X16)</f>
        <v>5145</v>
      </c>
      <c r="Z16" s="27"/>
      <c r="AA16" s="20">
        <f t="shared" ref="AA16:AA20" si="7">Y16+Z16</f>
        <v>5145</v>
      </c>
      <c r="AB16" s="21">
        <f t="shared" ref="AB16:AB24" si="8">(AA16/O16)</f>
        <v>1.077938403519799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708</v>
      </c>
      <c r="E17" s="30"/>
      <c r="F17" s="30"/>
      <c r="G17" s="26">
        <f t="shared" si="1"/>
        <v>708</v>
      </c>
      <c r="H17" s="31"/>
      <c r="I17" s="20">
        <f t="shared" si="2"/>
        <v>708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811</v>
      </c>
      <c r="Q17" s="30"/>
      <c r="R17" s="30"/>
      <c r="S17" s="26">
        <f t="shared" si="4"/>
        <v>811</v>
      </c>
      <c r="T17" s="31"/>
      <c r="U17" s="20">
        <f t="shared" si="5"/>
        <v>811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/>
      <c r="E18" s="34">
        <v>32870.400000000001</v>
      </c>
      <c r="F18" s="30"/>
      <c r="G18" s="26">
        <f t="shared" si="1"/>
        <v>32870.400000000001</v>
      </c>
      <c r="H18" s="19"/>
      <c r="I18" s="20">
        <f t="shared" si="2"/>
        <v>32870.400000000001</v>
      </c>
      <c r="J18" s="33"/>
      <c r="K18" s="34">
        <v>31657</v>
      </c>
      <c r="L18" s="30"/>
      <c r="M18" s="26">
        <f t="shared" si="0"/>
        <v>31657</v>
      </c>
      <c r="N18" s="19"/>
      <c r="O18" s="20">
        <f t="shared" si="3"/>
        <v>31657</v>
      </c>
      <c r="P18" s="33"/>
      <c r="Q18" s="34">
        <v>19403.3</v>
      </c>
      <c r="R18" s="30"/>
      <c r="S18" s="26">
        <f t="shared" si="4"/>
        <v>19403.3</v>
      </c>
      <c r="T18" s="19"/>
      <c r="U18" s="20">
        <f t="shared" si="5"/>
        <v>19403.3</v>
      </c>
      <c r="V18" s="33"/>
      <c r="W18" s="34">
        <v>36365.4</v>
      </c>
      <c r="X18" s="30"/>
      <c r="Y18" s="26">
        <f t="shared" si="6"/>
        <v>36365.4</v>
      </c>
      <c r="Z18" s="19"/>
      <c r="AA18" s="20">
        <f t="shared" si="7"/>
        <v>36365.4</v>
      </c>
      <c r="AB18" s="21">
        <f t="shared" si="8"/>
        <v>1.1487317181034211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/>
      <c r="E19" s="30"/>
      <c r="F19" s="37" t="s">
        <v>56</v>
      </c>
      <c r="G19" s="26">
        <f t="shared" si="1"/>
        <v>0</v>
      </c>
      <c r="H19" s="38"/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/>
      <c r="E20" s="192">
        <v>370.5</v>
      </c>
      <c r="F20" s="193">
        <v>161.1</v>
      </c>
      <c r="G20" s="26">
        <f t="shared" si="1"/>
        <v>531.6</v>
      </c>
      <c r="H20" s="38"/>
      <c r="I20" s="20">
        <f t="shared" si="2"/>
        <v>531.6</v>
      </c>
      <c r="J20" s="33"/>
      <c r="K20" s="25"/>
      <c r="L20" s="40">
        <v>25</v>
      </c>
      <c r="M20" s="26">
        <f t="shared" si="0"/>
        <v>25</v>
      </c>
      <c r="N20" s="38"/>
      <c r="O20" s="20">
        <f t="shared" si="3"/>
        <v>25</v>
      </c>
      <c r="P20" s="33">
        <v>125.5</v>
      </c>
      <c r="Q20" s="25"/>
      <c r="R20" s="40">
        <v>13</v>
      </c>
      <c r="S20" s="26">
        <f t="shared" si="4"/>
        <v>138.5</v>
      </c>
      <c r="T20" s="38"/>
      <c r="U20" s="20">
        <f t="shared" si="5"/>
        <v>138.5</v>
      </c>
      <c r="V20" s="33"/>
      <c r="W20" s="25"/>
      <c r="X20" s="40">
        <v>50</v>
      </c>
      <c r="Y20" s="26">
        <f t="shared" si="6"/>
        <v>50</v>
      </c>
      <c r="Z20" s="38"/>
      <c r="AA20" s="20">
        <f t="shared" si="7"/>
        <v>50</v>
      </c>
      <c r="AB20" s="21">
        <f t="shared" si="8"/>
        <v>2</v>
      </c>
      <c r="AC20" s="3"/>
      <c r="AD20" s="3"/>
    </row>
    <row r="21" spans="1:30" x14ac:dyDescent="0.25">
      <c r="A21" s="1"/>
      <c r="B21" s="22" t="s">
        <v>35</v>
      </c>
      <c r="C21" s="41" t="s">
        <v>36</v>
      </c>
      <c r="D21" s="33"/>
      <c r="E21" s="25"/>
      <c r="F21" s="193">
        <v>204.4</v>
      </c>
      <c r="G21" s="26">
        <f t="shared" si="1"/>
        <v>204.4</v>
      </c>
      <c r="H21" s="42">
        <v>222.5</v>
      </c>
      <c r="I21" s="20">
        <f>G21+H21</f>
        <v>426.9</v>
      </c>
      <c r="J21" s="33"/>
      <c r="K21" s="25"/>
      <c r="L21" s="40"/>
      <c r="M21" s="26">
        <f t="shared" si="0"/>
        <v>0</v>
      </c>
      <c r="N21" s="42">
        <v>242</v>
      </c>
      <c r="O21" s="20">
        <f>M21+N21</f>
        <v>242</v>
      </c>
      <c r="P21" s="33"/>
      <c r="Q21" s="25"/>
      <c r="R21" s="40">
        <v>12.7</v>
      </c>
      <c r="S21" s="26">
        <f t="shared" si="4"/>
        <v>12.7</v>
      </c>
      <c r="T21" s="42">
        <v>138.30000000000001</v>
      </c>
      <c r="U21" s="20">
        <f>S21+T21</f>
        <v>151</v>
      </c>
      <c r="V21" s="33"/>
      <c r="W21" s="25"/>
      <c r="X21" s="40">
        <v>210</v>
      </c>
      <c r="Y21" s="26">
        <f t="shared" si="6"/>
        <v>210</v>
      </c>
      <c r="Z21" s="42">
        <v>250</v>
      </c>
      <c r="AA21" s="20">
        <f>Y21+Z21</f>
        <v>460</v>
      </c>
      <c r="AB21" s="21">
        <f t="shared" si="8"/>
        <v>1.9008264462809918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193">
        <v>0</v>
      </c>
      <c r="G22" s="26">
        <f t="shared" si="1"/>
        <v>0</v>
      </c>
      <c r="H22" s="42">
        <v>222.5</v>
      </c>
      <c r="I22" s="20">
        <f t="shared" si="2"/>
        <v>222.5</v>
      </c>
      <c r="J22" s="33"/>
      <c r="K22" s="25"/>
      <c r="L22" s="40"/>
      <c r="M22" s="26">
        <f t="shared" si="0"/>
        <v>0</v>
      </c>
      <c r="N22" s="42">
        <v>242</v>
      </c>
      <c r="O22" s="20">
        <f t="shared" ref="O22:O23" si="9">M22+N22</f>
        <v>242</v>
      </c>
      <c r="P22" s="33"/>
      <c r="Q22" s="25"/>
      <c r="R22" s="40">
        <v>0</v>
      </c>
      <c r="S22" s="26">
        <f t="shared" si="4"/>
        <v>0</v>
      </c>
      <c r="T22" s="42">
        <v>138.30000000000001</v>
      </c>
      <c r="U22" s="20">
        <f t="shared" ref="U22:U23" si="10">S22+T22</f>
        <v>138.30000000000001</v>
      </c>
      <c r="V22" s="33"/>
      <c r="W22" s="25"/>
      <c r="X22" s="40">
        <v>0</v>
      </c>
      <c r="Y22" s="26">
        <f t="shared" si="6"/>
        <v>0</v>
      </c>
      <c r="Z22" s="42">
        <v>250</v>
      </c>
      <c r="AA22" s="20">
        <f t="shared" ref="AA22:AA23" si="11">Y22+Z22</f>
        <v>250</v>
      </c>
      <c r="AB22" s="21">
        <f t="shared" si="8"/>
        <v>1.0330578512396693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194">
        <v>0</v>
      </c>
      <c r="G23" s="48">
        <f t="shared" si="1"/>
        <v>0</v>
      </c>
      <c r="H23" s="49"/>
      <c r="I23" s="50">
        <f t="shared" si="2"/>
        <v>0</v>
      </c>
      <c r="J23" s="45"/>
      <c r="K23" s="46"/>
      <c r="L23" s="47"/>
      <c r="M23" s="48">
        <f t="shared" si="0"/>
        <v>0</v>
      </c>
      <c r="N23" s="49"/>
      <c r="O23" s="50">
        <f t="shared" si="9"/>
        <v>0</v>
      </c>
      <c r="P23" s="45"/>
      <c r="Q23" s="46"/>
      <c r="R23" s="47">
        <v>0</v>
      </c>
      <c r="S23" s="48">
        <f t="shared" si="4"/>
        <v>0</v>
      </c>
      <c r="T23" s="49"/>
      <c r="U23" s="50">
        <f t="shared" si="10"/>
        <v>0</v>
      </c>
      <c r="V23" s="45"/>
      <c r="W23" s="46"/>
      <c r="X23" s="47">
        <v>0</v>
      </c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5519</v>
      </c>
      <c r="E24" s="55">
        <f>SUM(E15:E21)</f>
        <v>33240.9</v>
      </c>
      <c r="F24" s="55">
        <f>SUM(F15:F21)</f>
        <v>2643</v>
      </c>
      <c r="G24" s="56">
        <f>SUM(D24:F24)</f>
        <v>41402.9</v>
      </c>
      <c r="H24" s="57">
        <f>SUM(H15:H21)</f>
        <v>514.70000000000005</v>
      </c>
      <c r="I24" s="57">
        <f>SUM(I15:I21)</f>
        <v>41917.599999999999</v>
      </c>
      <c r="J24" s="54">
        <f>SUM(J15:J21)</f>
        <v>4773</v>
      </c>
      <c r="K24" s="55">
        <f>SUM(K15:K21)</f>
        <v>31657</v>
      </c>
      <c r="L24" s="55">
        <f>SUM(L15:L21)</f>
        <v>2070</v>
      </c>
      <c r="M24" s="56">
        <f>SUM(J24:L24)</f>
        <v>38500</v>
      </c>
      <c r="N24" s="57">
        <f>SUM(N15:N21)</f>
        <v>515</v>
      </c>
      <c r="O24" s="57">
        <f>SUM(O15:O21)</f>
        <v>39015</v>
      </c>
      <c r="P24" s="54">
        <f>SUM(P15:P21)</f>
        <v>3340.1</v>
      </c>
      <c r="Q24" s="55">
        <f>SUM(Q15:Q21)</f>
        <v>19403.3</v>
      </c>
      <c r="R24" s="55">
        <f>SUM(R15:R21)</f>
        <v>1376.6000000000001</v>
      </c>
      <c r="S24" s="56">
        <f>SUM(P24:R24)</f>
        <v>24119.999999999996</v>
      </c>
      <c r="T24" s="57">
        <f>SUM(T15:T21)</f>
        <v>303.70000000000005</v>
      </c>
      <c r="U24" s="57">
        <f>SUM(U15:U21)</f>
        <v>24423.699999999997</v>
      </c>
      <c r="V24" s="54">
        <f>SUM(V15:V21)</f>
        <v>5145</v>
      </c>
      <c r="W24" s="55">
        <f>SUM(W15:W21)</f>
        <v>36365.4</v>
      </c>
      <c r="X24" s="55">
        <f>SUM(X15:X21)</f>
        <v>2130</v>
      </c>
      <c r="Y24" s="56">
        <f>SUM(V24:X24)</f>
        <v>43640.4</v>
      </c>
      <c r="Z24" s="57">
        <f>SUM(Z15:Z21)</f>
        <v>565</v>
      </c>
      <c r="AA24" s="57">
        <f>SUM(AA15:AA21)</f>
        <v>44205.4</v>
      </c>
      <c r="AB24" s="58">
        <f t="shared" si="8"/>
        <v>1.1330360117903371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>
        <v>0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611.5</v>
      </c>
      <c r="E28" s="65">
        <v>0</v>
      </c>
      <c r="F28" s="65">
        <v>0</v>
      </c>
      <c r="G28" s="66">
        <f>SUM(D28:F28)</f>
        <v>611.5</v>
      </c>
      <c r="H28" s="66">
        <v>17.8</v>
      </c>
      <c r="I28" s="67">
        <f>G28+H28</f>
        <v>629.29999999999995</v>
      </c>
      <c r="J28" s="68">
        <v>530</v>
      </c>
      <c r="K28" s="65">
        <v>0</v>
      </c>
      <c r="L28" s="65">
        <v>0</v>
      </c>
      <c r="M28" s="66">
        <f>SUM(J28:L28)</f>
        <v>530</v>
      </c>
      <c r="N28" s="66">
        <v>35</v>
      </c>
      <c r="O28" s="67">
        <f>M28+N28</f>
        <v>565</v>
      </c>
      <c r="P28" s="68">
        <v>126.3</v>
      </c>
      <c r="Q28" s="65">
        <v>0</v>
      </c>
      <c r="R28" s="65">
        <v>0</v>
      </c>
      <c r="S28" s="66">
        <f>SUM(P28:R28)</f>
        <v>126.3</v>
      </c>
      <c r="T28" s="66">
        <v>0</v>
      </c>
      <c r="U28" s="67">
        <f>S28+T28</f>
        <v>126.3</v>
      </c>
      <c r="V28" s="68">
        <v>550</v>
      </c>
      <c r="W28" s="65">
        <v>0</v>
      </c>
      <c r="X28" s="65">
        <v>0</v>
      </c>
      <c r="Y28" s="66">
        <f>SUM(V28:X28)</f>
        <v>550</v>
      </c>
      <c r="Z28" s="66">
        <v>35</v>
      </c>
      <c r="AA28" s="67">
        <f>Y28+Z28</f>
        <v>585</v>
      </c>
      <c r="AB28" s="21">
        <f t="shared" ref="AB28:AB41" si="12">(AA28/O28)</f>
        <v>1.0353982300884956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436.4</v>
      </c>
      <c r="E29" s="70">
        <v>248.5</v>
      </c>
      <c r="F29" s="70">
        <v>2350.1999999999998</v>
      </c>
      <c r="G29" s="71">
        <f t="shared" ref="G29:G38" si="13">SUM(D29:F29)</f>
        <v>3035.1</v>
      </c>
      <c r="H29" s="72">
        <v>202.7</v>
      </c>
      <c r="I29" s="20">
        <f t="shared" ref="I29:I38" si="14">G29+H29</f>
        <v>3237.7999999999997</v>
      </c>
      <c r="J29" s="73">
        <v>480</v>
      </c>
      <c r="K29" s="70">
        <v>335</v>
      </c>
      <c r="L29" s="70">
        <v>2045</v>
      </c>
      <c r="M29" s="71">
        <f t="shared" ref="M29:M38" si="15">SUM(J29:L29)</f>
        <v>2860</v>
      </c>
      <c r="N29" s="72">
        <v>185</v>
      </c>
      <c r="O29" s="20">
        <f t="shared" ref="O29:O38" si="16">M29+N29</f>
        <v>3045</v>
      </c>
      <c r="P29" s="73">
        <v>248.1</v>
      </c>
      <c r="Q29" s="70">
        <v>51</v>
      </c>
      <c r="R29" s="70">
        <v>1297</v>
      </c>
      <c r="S29" s="71">
        <f t="shared" ref="S29:S38" si="17">SUM(P29:R29)</f>
        <v>1596.1</v>
      </c>
      <c r="T29" s="72">
        <v>113.7</v>
      </c>
      <c r="U29" s="20">
        <f t="shared" ref="U29:U38" si="18">S29+T29</f>
        <v>1709.8</v>
      </c>
      <c r="V29" s="73">
        <v>534.29999999999995</v>
      </c>
      <c r="W29" s="70">
        <v>310</v>
      </c>
      <c r="X29" s="70">
        <v>2055</v>
      </c>
      <c r="Y29" s="71">
        <f t="shared" ref="Y29:Y38" si="19">SUM(V29:X29)</f>
        <v>2899.3</v>
      </c>
      <c r="Z29" s="72">
        <v>185</v>
      </c>
      <c r="AA29" s="20">
        <f t="shared" ref="AA29:AA38" si="20">Y29+Z29</f>
        <v>3084.3</v>
      </c>
      <c r="AB29" s="21">
        <f t="shared" si="12"/>
        <v>1.0129064039408868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1830.8</v>
      </c>
      <c r="E30" s="74">
        <v>0</v>
      </c>
      <c r="F30" s="74">
        <v>0</v>
      </c>
      <c r="G30" s="71">
        <f t="shared" si="13"/>
        <v>1830.8</v>
      </c>
      <c r="H30" s="71">
        <v>47.3</v>
      </c>
      <c r="I30" s="20">
        <f t="shared" si="14"/>
        <v>1878.1</v>
      </c>
      <c r="J30" s="75">
        <v>1912.7</v>
      </c>
      <c r="K30" s="74">
        <v>0</v>
      </c>
      <c r="L30" s="74">
        <v>0</v>
      </c>
      <c r="M30" s="71">
        <f t="shared" si="15"/>
        <v>1912.7</v>
      </c>
      <c r="N30" s="71">
        <v>110</v>
      </c>
      <c r="O30" s="20">
        <f t="shared" si="16"/>
        <v>2022.7</v>
      </c>
      <c r="P30" s="75">
        <v>1129.5</v>
      </c>
      <c r="Q30" s="74">
        <v>0</v>
      </c>
      <c r="R30" s="74">
        <v>0</v>
      </c>
      <c r="S30" s="71">
        <f t="shared" si="17"/>
        <v>1129.5</v>
      </c>
      <c r="T30" s="71">
        <v>65.5</v>
      </c>
      <c r="U30" s="20">
        <f t="shared" si="18"/>
        <v>1195</v>
      </c>
      <c r="V30" s="75">
        <v>1940</v>
      </c>
      <c r="W30" s="74">
        <v>0</v>
      </c>
      <c r="X30" s="74">
        <v>0</v>
      </c>
      <c r="Y30" s="71">
        <f t="shared" si="19"/>
        <v>1940</v>
      </c>
      <c r="Z30" s="71">
        <v>160</v>
      </c>
      <c r="AA30" s="20">
        <f t="shared" si="20"/>
        <v>2100</v>
      </c>
      <c r="AB30" s="21">
        <f t="shared" si="12"/>
        <v>1.0382162456123003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672.7</v>
      </c>
      <c r="E31" s="74">
        <v>57</v>
      </c>
      <c r="F31" s="74">
        <v>125.8</v>
      </c>
      <c r="G31" s="71">
        <f t="shared" si="13"/>
        <v>855.5</v>
      </c>
      <c r="H31" s="71">
        <v>0</v>
      </c>
      <c r="I31" s="20">
        <f t="shared" si="14"/>
        <v>855.5</v>
      </c>
      <c r="J31" s="75">
        <v>650</v>
      </c>
      <c r="K31" s="74">
        <v>80</v>
      </c>
      <c r="L31" s="74">
        <v>25</v>
      </c>
      <c r="M31" s="71">
        <f t="shared" si="15"/>
        <v>755</v>
      </c>
      <c r="N31" s="71">
        <v>0</v>
      </c>
      <c r="O31" s="20">
        <f t="shared" si="16"/>
        <v>755</v>
      </c>
      <c r="P31" s="75">
        <v>441.4</v>
      </c>
      <c r="Q31" s="74">
        <v>64.3</v>
      </c>
      <c r="R31" s="74">
        <v>11.1</v>
      </c>
      <c r="S31" s="71">
        <f t="shared" si="17"/>
        <v>516.79999999999995</v>
      </c>
      <c r="T31" s="71">
        <v>0</v>
      </c>
      <c r="U31" s="20">
        <f t="shared" si="18"/>
        <v>516.79999999999995</v>
      </c>
      <c r="V31" s="75">
        <v>850</v>
      </c>
      <c r="W31" s="74">
        <v>80</v>
      </c>
      <c r="X31" s="74">
        <v>25</v>
      </c>
      <c r="Y31" s="71">
        <f t="shared" si="19"/>
        <v>955</v>
      </c>
      <c r="Z31" s="71">
        <v>0</v>
      </c>
      <c r="AA31" s="20">
        <f t="shared" si="20"/>
        <v>955</v>
      </c>
      <c r="AB31" s="21">
        <f t="shared" si="12"/>
        <v>1.2649006622516556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599.1</v>
      </c>
      <c r="E32" s="74">
        <v>23682.5</v>
      </c>
      <c r="F32" s="74">
        <v>0</v>
      </c>
      <c r="G32" s="71">
        <f t="shared" si="13"/>
        <v>24281.599999999999</v>
      </c>
      <c r="H32" s="71">
        <v>154.1</v>
      </c>
      <c r="I32" s="20">
        <f t="shared" si="14"/>
        <v>24435.699999999997</v>
      </c>
      <c r="J32" s="77">
        <v>60</v>
      </c>
      <c r="K32" s="74">
        <v>22895</v>
      </c>
      <c r="L32" s="74">
        <v>0</v>
      </c>
      <c r="M32" s="71">
        <f t="shared" si="15"/>
        <v>22955</v>
      </c>
      <c r="N32" s="71">
        <v>167</v>
      </c>
      <c r="O32" s="20">
        <f t="shared" si="16"/>
        <v>23122</v>
      </c>
      <c r="P32" s="77">
        <v>257.3</v>
      </c>
      <c r="Q32" s="74">
        <v>12540.1</v>
      </c>
      <c r="R32" s="74">
        <v>0</v>
      </c>
      <c r="S32" s="71">
        <f t="shared" si="17"/>
        <v>12797.4</v>
      </c>
      <c r="T32" s="71">
        <v>127.7</v>
      </c>
      <c r="U32" s="20">
        <f t="shared" si="18"/>
        <v>12925.1</v>
      </c>
      <c r="V32" s="77">
        <v>60</v>
      </c>
      <c r="W32" s="74">
        <v>26520</v>
      </c>
      <c r="X32" s="74">
        <v>0</v>
      </c>
      <c r="Y32" s="71">
        <f t="shared" si="19"/>
        <v>26580</v>
      </c>
      <c r="Z32" s="71">
        <v>167</v>
      </c>
      <c r="AA32" s="20">
        <f t="shared" si="20"/>
        <v>26747</v>
      </c>
      <c r="AB32" s="21">
        <f t="shared" si="12"/>
        <v>1.1567770954069718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416.8</v>
      </c>
      <c r="E33" s="74">
        <v>23476.6</v>
      </c>
      <c r="F33" s="74">
        <v>0</v>
      </c>
      <c r="G33" s="71">
        <f t="shared" si="13"/>
        <v>23893.399999999998</v>
      </c>
      <c r="H33" s="71">
        <v>37</v>
      </c>
      <c r="I33" s="20">
        <f t="shared" si="14"/>
        <v>23930.399999999998</v>
      </c>
      <c r="J33" s="77">
        <v>0</v>
      </c>
      <c r="K33" s="74">
        <v>22735</v>
      </c>
      <c r="L33" s="74">
        <v>0</v>
      </c>
      <c r="M33" s="71">
        <f t="shared" si="15"/>
        <v>22735</v>
      </c>
      <c r="N33" s="71">
        <v>40</v>
      </c>
      <c r="O33" s="20">
        <f t="shared" si="16"/>
        <v>22775</v>
      </c>
      <c r="P33" s="77">
        <v>225.5</v>
      </c>
      <c r="Q33" s="74">
        <v>12345.6</v>
      </c>
      <c r="R33" s="74">
        <v>0</v>
      </c>
      <c r="S33" s="71">
        <f t="shared" si="17"/>
        <v>12571.1</v>
      </c>
      <c r="T33" s="71">
        <v>21.4</v>
      </c>
      <c r="U33" s="20">
        <f t="shared" si="18"/>
        <v>12592.5</v>
      </c>
      <c r="V33" s="77">
        <v>0</v>
      </c>
      <c r="W33" s="74">
        <v>26400</v>
      </c>
      <c r="X33" s="74">
        <v>0</v>
      </c>
      <c r="Y33" s="71">
        <f t="shared" si="19"/>
        <v>26400</v>
      </c>
      <c r="Z33" s="71">
        <v>40</v>
      </c>
      <c r="AA33" s="20">
        <f t="shared" si="20"/>
        <v>26440</v>
      </c>
      <c r="AB33" s="21">
        <f t="shared" si="12"/>
        <v>1.1609220636663007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>
        <v>182.3</v>
      </c>
      <c r="E34" s="74">
        <v>205.9</v>
      </c>
      <c r="F34" s="74">
        <v>0</v>
      </c>
      <c r="G34" s="71">
        <f t="shared" si="13"/>
        <v>388.20000000000005</v>
      </c>
      <c r="H34" s="71">
        <v>117.1</v>
      </c>
      <c r="I34" s="20">
        <f t="shared" si="14"/>
        <v>505.30000000000007</v>
      </c>
      <c r="J34" s="77">
        <v>60</v>
      </c>
      <c r="K34" s="74">
        <v>160</v>
      </c>
      <c r="L34" s="74">
        <v>0</v>
      </c>
      <c r="M34" s="71">
        <f>SUM(J34:L34)</f>
        <v>220</v>
      </c>
      <c r="N34" s="71">
        <v>127</v>
      </c>
      <c r="O34" s="20">
        <f t="shared" si="16"/>
        <v>347</v>
      </c>
      <c r="P34" s="77">
        <v>31.8</v>
      </c>
      <c r="Q34" s="74">
        <v>194.5</v>
      </c>
      <c r="R34" s="74">
        <v>0</v>
      </c>
      <c r="S34" s="71">
        <f t="shared" si="17"/>
        <v>226.3</v>
      </c>
      <c r="T34" s="71">
        <v>106.3</v>
      </c>
      <c r="U34" s="20">
        <f t="shared" si="18"/>
        <v>332.6</v>
      </c>
      <c r="V34" s="186">
        <v>60</v>
      </c>
      <c r="W34" s="74">
        <v>120</v>
      </c>
      <c r="X34" s="74">
        <v>0</v>
      </c>
      <c r="Y34" s="71">
        <f t="shared" si="19"/>
        <v>180</v>
      </c>
      <c r="Z34" s="71">
        <v>127</v>
      </c>
      <c r="AA34" s="20">
        <f t="shared" si="20"/>
        <v>307</v>
      </c>
      <c r="AB34" s="21">
        <f t="shared" si="12"/>
        <v>0.88472622478386165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197.4</v>
      </c>
      <c r="E35" s="74">
        <v>7970.4</v>
      </c>
      <c r="F35" s="74">
        <v>0</v>
      </c>
      <c r="G35" s="71">
        <f t="shared" si="13"/>
        <v>8167.7999999999993</v>
      </c>
      <c r="H35" s="71">
        <v>16.399999999999999</v>
      </c>
      <c r="I35" s="20">
        <f t="shared" si="14"/>
        <v>8184.1999999999989</v>
      </c>
      <c r="J35" s="77">
        <v>21</v>
      </c>
      <c r="K35" s="74">
        <v>7700</v>
      </c>
      <c r="L35" s="74">
        <v>0</v>
      </c>
      <c r="M35" s="71">
        <f t="shared" si="15"/>
        <v>7721</v>
      </c>
      <c r="N35" s="71">
        <v>17</v>
      </c>
      <c r="O35" s="20">
        <f t="shared" si="16"/>
        <v>7738</v>
      </c>
      <c r="P35" s="77">
        <v>83.2</v>
      </c>
      <c r="Q35" s="74">
        <v>4200.3999999999996</v>
      </c>
      <c r="R35" s="74">
        <v>0</v>
      </c>
      <c r="S35" s="71">
        <f t="shared" si="17"/>
        <v>4283.5999999999995</v>
      </c>
      <c r="T35" s="71">
        <v>7.3</v>
      </c>
      <c r="U35" s="20">
        <f t="shared" si="18"/>
        <v>4290.8999999999996</v>
      </c>
      <c r="V35" s="186">
        <v>12</v>
      </c>
      <c r="W35" s="74">
        <v>8677.4</v>
      </c>
      <c r="X35" s="74">
        <v>0</v>
      </c>
      <c r="Y35" s="71">
        <f t="shared" si="19"/>
        <v>8689.4</v>
      </c>
      <c r="Z35" s="71">
        <v>17</v>
      </c>
      <c r="AA35" s="20">
        <f t="shared" si="20"/>
        <v>8706.4</v>
      </c>
      <c r="AB35" s="21">
        <f t="shared" si="12"/>
        <v>1.1251486172137504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>
        <v>0</v>
      </c>
      <c r="E36" s="74">
        <v>0</v>
      </c>
      <c r="F36" s="74">
        <v>0</v>
      </c>
      <c r="G36" s="71">
        <f t="shared" si="13"/>
        <v>0</v>
      </c>
      <c r="H36" s="71">
        <v>0</v>
      </c>
      <c r="I36" s="20">
        <f t="shared" si="14"/>
        <v>0</v>
      </c>
      <c r="J36" s="75">
        <v>0</v>
      </c>
      <c r="K36" s="74">
        <v>0</v>
      </c>
      <c r="L36" s="74">
        <v>0</v>
      </c>
      <c r="M36" s="71">
        <f t="shared" si="15"/>
        <v>0</v>
      </c>
      <c r="N36" s="71">
        <v>0</v>
      </c>
      <c r="O36" s="20">
        <f t="shared" si="16"/>
        <v>0</v>
      </c>
      <c r="P36" s="75">
        <v>0</v>
      </c>
      <c r="Q36" s="74">
        <v>0</v>
      </c>
      <c r="R36" s="74">
        <v>0</v>
      </c>
      <c r="S36" s="71">
        <f t="shared" si="17"/>
        <v>0</v>
      </c>
      <c r="T36" s="71">
        <v>0</v>
      </c>
      <c r="U36" s="20">
        <f t="shared" si="18"/>
        <v>0</v>
      </c>
      <c r="V36" s="184">
        <v>0</v>
      </c>
      <c r="W36" s="74">
        <v>0</v>
      </c>
      <c r="X36" s="74">
        <v>0</v>
      </c>
      <c r="Y36" s="71">
        <f t="shared" si="19"/>
        <v>0</v>
      </c>
      <c r="Z36" s="71">
        <v>0</v>
      </c>
      <c r="AA36" s="20">
        <f t="shared" si="20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867</v>
      </c>
      <c r="E37" s="74">
        <v>0</v>
      </c>
      <c r="F37" s="74">
        <v>0</v>
      </c>
      <c r="G37" s="71">
        <f t="shared" si="13"/>
        <v>867</v>
      </c>
      <c r="H37" s="71">
        <v>0</v>
      </c>
      <c r="I37" s="20">
        <f t="shared" si="14"/>
        <v>867</v>
      </c>
      <c r="J37" s="75">
        <v>868.3</v>
      </c>
      <c r="K37" s="74">
        <v>0</v>
      </c>
      <c r="L37" s="74">
        <v>0</v>
      </c>
      <c r="M37" s="71">
        <f t="shared" si="15"/>
        <v>868.3</v>
      </c>
      <c r="N37" s="71">
        <v>0</v>
      </c>
      <c r="O37" s="20">
        <f t="shared" si="16"/>
        <v>868.3</v>
      </c>
      <c r="P37" s="75">
        <v>447.4</v>
      </c>
      <c r="Q37" s="74">
        <v>0</v>
      </c>
      <c r="R37" s="74">
        <v>0</v>
      </c>
      <c r="S37" s="71">
        <f t="shared" si="17"/>
        <v>447.4</v>
      </c>
      <c r="T37" s="71">
        <v>0</v>
      </c>
      <c r="U37" s="20">
        <f t="shared" si="18"/>
        <v>447.4</v>
      </c>
      <c r="V37" s="184">
        <v>947.7</v>
      </c>
      <c r="W37" s="74">
        <v>0</v>
      </c>
      <c r="X37" s="74">
        <v>0</v>
      </c>
      <c r="Y37" s="71">
        <f t="shared" si="19"/>
        <v>947.7</v>
      </c>
      <c r="Z37" s="71">
        <v>0</v>
      </c>
      <c r="AA37" s="20">
        <f t="shared" si="20"/>
        <v>947.7</v>
      </c>
      <c r="AB37" s="21">
        <f t="shared" si="12"/>
        <v>1.0914430496372223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297</v>
      </c>
      <c r="E38" s="81">
        <v>1282.5</v>
      </c>
      <c r="F38" s="81">
        <v>0</v>
      </c>
      <c r="G38" s="71">
        <f t="shared" si="13"/>
        <v>1579.5</v>
      </c>
      <c r="H38" s="82">
        <v>0.8</v>
      </c>
      <c r="I38" s="50">
        <f t="shared" si="14"/>
        <v>1580.3</v>
      </c>
      <c r="J38" s="83">
        <v>251</v>
      </c>
      <c r="K38" s="81">
        <v>647</v>
      </c>
      <c r="L38" s="81">
        <v>0</v>
      </c>
      <c r="M38" s="82">
        <f t="shared" si="15"/>
        <v>898</v>
      </c>
      <c r="N38" s="82">
        <v>1</v>
      </c>
      <c r="O38" s="50">
        <f t="shared" si="16"/>
        <v>899</v>
      </c>
      <c r="P38" s="83">
        <v>161.9</v>
      </c>
      <c r="Q38" s="81">
        <v>387</v>
      </c>
      <c r="R38" s="81">
        <v>0</v>
      </c>
      <c r="S38" s="82">
        <f t="shared" si="17"/>
        <v>548.9</v>
      </c>
      <c r="T38" s="82">
        <v>0.4</v>
      </c>
      <c r="U38" s="50">
        <f t="shared" si="18"/>
        <v>549.29999999999995</v>
      </c>
      <c r="V38" s="83">
        <v>251</v>
      </c>
      <c r="W38" s="81">
        <v>778</v>
      </c>
      <c r="X38" s="81">
        <v>50</v>
      </c>
      <c r="Y38" s="82">
        <f t="shared" si="19"/>
        <v>1079</v>
      </c>
      <c r="Z38" s="82">
        <v>1</v>
      </c>
      <c r="AA38" s="50">
        <f t="shared" si="20"/>
        <v>1080</v>
      </c>
      <c r="AB38" s="51">
        <f t="shared" si="12"/>
        <v>1.2013348164627364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5511.9</v>
      </c>
      <c r="E39" s="85">
        <f>SUM(E35:E38)+SUM(E28:E32)</f>
        <v>33240.9</v>
      </c>
      <c r="F39" s="85">
        <f>SUM(F35:F38)+SUM(F28:F32)</f>
        <v>2476</v>
      </c>
      <c r="G39" s="86">
        <f>SUM(D39:F39)</f>
        <v>41228.800000000003</v>
      </c>
      <c r="H39" s="87">
        <f>SUM(H28:H32)+SUM(H35:H38)</f>
        <v>439.09999999999997</v>
      </c>
      <c r="I39" s="88">
        <f>SUM(I35:I38)+SUM(I28:I32)</f>
        <v>41667.899999999994</v>
      </c>
      <c r="J39" s="85">
        <f>SUM(J35:J38)+SUM(J28:J32)</f>
        <v>4773</v>
      </c>
      <c r="K39" s="85">
        <f>SUM(K35:K38)+SUM(K28:K32)</f>
        <v>31657</v>
      </c>
      <c r="L39" s="85">
        <f>SUM(L35:L38)+SUM(L28:L32)</f>
        <v>2070</v>
      </c>
      <c r="M39" s="86">
        <f>SUM(J39:L39)</f>
        <v>38500</v>
      </c>
      <c r="N39" s="87">
        <f>SUM(N28:N32)+SUM(N35:N38)</f>
        <v>515</v>
      </c>
      <c r="O39" s="88">
        <f>SUM(O35:O38)+SUM(O28:O32)</f>
        <v>39015</v>
      </c>
      <c r="P39" s="85">
        <f>SUM(P35:P38)+SUM(P28:P32)</f>
        <v>2895.1000000000004</v>
      </c>
      <c r="Q39" s="85">
        <f>SUM(Q35:Q38)+SUM(Q28:Q32)</f>
        <v>17242.8</v>
      </c>
      <c r="R39" s="85">
        <f>SUM(R35:R38)+SUM(R28:R32)</f>
        <v>1308.0999999999999</v>
      </c>
      <c r="S39" s="86">
        <f>SUM(P39:R39)</f>
        <v>21446</v>
      </c>
      <c r="T39" s="87">
        <f>SUM(T28:T32)+SUM(T35:T38)</f>
        <v>314.59999999999997</v>
      </c>
      <c r="U39" s="88">
        <f>SUM(U35:U38)+SUM(U28:U32)</f>
        <v>21760.6</v>
      </c>
      <c r="V39" s="85">
        <f>SUM(V35:V38)+SUM(V28:V32)</f>
        <v>5145</v>
      </c>
      <c r="W39" s="85">
        <f>SUM(W35:W38)+SUM(W28:W32)</f>
        <v>36365.4</v>
      </c>
      <c r="X39" s="85">
        <f>SUM(X35:X38)+SUM(X28:X32)</f>
        <v>2130</v>
      </c>
      <c r="Y39" s="86">
        <f>SUM(V39:X39)</f>
        <v>43640.4</v>
      </c>
      <c r="Z39" s="87">
        <f>SUM(Z28:Z32)+SUM(Z35:Z38)</f>
        <v>565</v>
      </c>
      <c r="AA39" s="88">
        <f>SUM(AA35:AA38)+SUM(AA28:AA32)</f>
        <v>44205.4</v>
      </c>
      <c r="AB39" s="89">
        <f t="shared" si="12"/>
        <v>1.1330360117903371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7.1000000000003638</v>
      </c>
      <c r="E40" s="92">
        <f t="shared" si="21"/>
        <v>0</v>
      </c>
      <c r="F40" s="92">
        <f t="shared" si="21"/>
        <v>167</v>
      </c>
      <c r="G40" s="93">
        <f t="shared" si="21"/>
        <v>174.09999999999854</v>
      </c>
      <c r="H40" s="93">
        <f t="shared" si="21"/>
        <v>75.60000000000008</v>
      </c>
      <c r="I40" s="94">
        <f t="shared" si="21"/>
        <v>249.70000000000437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444.99999999999955</v>
      </c>
      <c r="Q40" s="92">
        <f t="shared" si="21"/>
        <v>2160.5</v>
      </c>
      <c r="R40" s="92">
        <f t="shared" si="21"/>
        <v>68.500000000000227</v>
      </c>
      <c r="S40" s="93">
        <f t="shared" si="21"/>
        <v>2673.9999999999964</v>
      </c>
      <c r="T40" s="93">
        <f t="shared" si="21"/>
        <v>-10.89999999999992</v>
      </c>
      <c r="U40" s="94">
        <f t="shared" si="21"/>
        <v>2663.0999999999985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-4561.2999999999956</v>
      </c>
      <c r="J41" s="98"/>
      <c r="K41" s="99"/>
      <c r="L41" s="99"/>
      <c r="M41" s="100"/>
      <c r="N41" s="103"/>
      <c r="O41" s="102">
        <f>O40-J16</f>
        <v>-4773</v>
      </c>
      <c r="P41" s="98"/>
      <c r="Q41" s="99"/>
      <c r="R41" s="99"/>
      <c r="S41" s="100"/>
      <c r="T41" s="103"/>
      <c r="U41" s="102">
        <f>U40-P16</f>
        <v>259.49999999999864</v>
      </c>
      <c r="V41" s="98"/>
      <c r="W41" s="99"/>
      <c r="X41" s="99"/>
      <c r="Y41" s="100"/>
      <c r="Z41" s="103"/>
      <c r="AA41" s="102">
        <f>AA40-V16</f>
        <v>-5145</v>
      </c>
      <c r="AB41" s="21">
        <f t="shared" si="12"/>
        <v>1.077938403519799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670.3</v>
      </c>
      <c r="E44" s="117">
        <v>670.3</v>
      </c>
      <c r="F44" s="118">
        <v>0</v>
      </c>
      <c r="G44" s="108"/>
      <c r="H44" s="108"/>
      <c r="I44" s="115"/>
      <c r="J44" s="116">
        <v>670.9</v>
      </c>
      <c r="K44" s="117">
        <v>670.9</v>
      </c>
      <c r="L44" s="118">
        <v>0</v>
      </c>
      <c r="M44" s="119"/>
      <c r="N44" s="119"/>
      <c r="O44" s="119"/>
      <c r="P44" s="116">
        <v>335.4</v>
      </c>
      <c r="Q44" s="117">
        <v>335.4</v>
      </c>
      <c r="R44" s="118">
        <v>0</v>
      </c>
      <c r="S44" s="3"/>
      <c r="T44" s="3"/>
      <c r="U44" s="3"/>
      <c r="V44" s="116">
        <v>748.5</v>
      </c>
      <c r="W44" s="117">
        <v>748.5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158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/>
      <c r="E50" s="129"/>
      <c r="F50" s="129"/>
      <c r="G50" s="130">
        <f>D50+E50-F50</f>
        <v>0</v>
      </c>
      <c r="H50" s="108"/>
      <c r="I50" s="3"/>
      <c r="J50" s="129"/>
      <c r="K50" s="129"/>
      <c r="L50" s="129"/>
      <c r="M50" s="130">
        <f>J50+K50-L50</f>
        <v>0</v>
      </c>
      <c r="N50" s="3"/>
      <c r="O50" s="3"/>
      <c r="P50" s="129"/>
      <c r="Q50" s="129"/>
      <c r="R50" s="129"/>
      <c r="S50" s="130">
        <f>P50+Q50-R50</f>
        <v>0</v>
      </c>
      <c r="T50" s="3"/>
      <c r="U50" s="3"/>
      <c r="V50" s="129"/>
      <c r="W50" s="129"/>
      <c r="X50" s="129"/>
      <c r="Y50" s="13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1268</v>
      </c>
      <c r="E51" s="129">
        <v>135.6</v>
      </c>
      <c r="F51" s="129">
        <v>525.4</v>
      </c>
      <c r="G51" s="130">
        <f t="shared" ref="G51:G54" si="22">D51+E51-F51</f>
        <v>878.19999999999993</v>
      </c>
      <c r="H51" s="108"/>
      <c r="I51" s="3"/>
      <c r="J51" s="129">
        <v>878.2</v>
      </c>
      <c r="K51" s="129">
        <v>229.7</v>
      </c>
      <c r="L51" s="129">
        <v>169.6</v>
      </c>
      <c r="M51" s="130">
        <f t="shared" ref="M51:M54" si="23">J51+K51-L51</f>
        <v>938.30000000000007</v>
      </c>
      <c r="N51" s="3"/>
      <c r="O51" s="3"/>
      <c r="P51" s="129">
        <v>878.2</v>
      </c>
      <c r="Q51" s="129">
        <v>235.7</v>
      </c>
      <c r="R51" s="129">
        <v>157.6</v>
      </c>
      <c r="S51" s="130">
        <f t="shared" ref="S51:S54" si="24">P51+Q51-R51</f>
        <v>956.30000000000007</v>
      </c>
      <c r="T51" s="3"/>
      <c r="U51" s="3"/>
      <c r="V51" s="129">
        <v>938.3</v>
      </c>
      <c r="W51" s="129">
        <v>0</v>
      </c>
      <c r="X51" s="129">
        <v>50</v>
      </c>
      <c r="Y51" s="130">
        <f t="shared" ref="Y51:Y54" si="25">V51+W51-X51</f>
        <v>888.3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170.3</v>
      </c>
      <c r="E52" s="129">
        <v>867</v>
      </c>
      <c r="F52" s="129">
        <v>867.3</v>
      </c>
      <c r="G52" s="130">
        <f t="shared" si="22"/>
        <v>170</v>
      </c>
      <c r="H52" s="108"/>
      <c r="I52" s="3"/>
      <c r="J52" s="129">
        <v>170</v>
      </c>
      <c r="K52" s="129">
        <v>921.2</v>
      </c>
      <c r="L52" s="129">
        <v>853.1</v>
      </c>
      <c r="M52" s="130">
        <f t="shared" si="23"/>
        <v>238.10000000000002</v>
      </c>
      <c r="N52" s="3"/>
      <c r="O52" s="3"/>
      <c r="P52" s="129">
        <v>170</v>
      </c>
      <c r="Q52" s="129">
        <v>447.4</v>
      </c>
      <c r="R52" s="129">
        <v>335.4</v>
      </c>
      <c r="S52" s="130">
        <f t="shared" si="24"/>
        <v>282</v>
      </c>
      <c r="T52" s="3"/>
      <c r="U52" s="3"/>
      <c r="V52" s="129">
        <v>238.1</v>
      </c>
      <c r="W52" s="129">
        <v>947.6</v>
      </c>
      <c r="X52" s="129">
        <v>948.5</v>
      </c>
      <c r="Y52" s="130">
        <f t="shared" si="25"/>
        <v>237.20000000000005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102.2</v>
      </c>
      <c r="E53" s="129">
        <v>20</v>
      </c>
      <c r="F53" s="129">
        <v>6.2</v>
      </c>
      <c r="G53" s="130">
        <f t="shared" si="22"/>
        <v>116</v>
      </c>
      <c r="H53" s="108"/>
      <c r="I53" s="3"/>
      <c r="J53" s="129">
        <v>116</v>
      </c>
      <c r="K53" s="129">
        <v>20</v>
      </c>
      <c r="L53" s="129">
        <v>16.899999999999999</v>
      </c>
      <c r="M53" s="130">
        <f t="shared" si="23"/>
        <v>119.1</v>
      </c>
      <c r="N53" s="3"/>
      <c r="O53" s="3"/>
      <c r="P53" s="129">
        <v>116</v>
      </c>
      <c r="Q53" s="129">
        <v>20</v>
      </c>
      <c r="R53" s="129">
        <v>0</v>
      </c>
      <c r="S53" s="130">
        <f t="shared" si="24"/>
        <v>136</v>
      </c>
      <c r="T53" s="3"/>
      <c r="U53" s="3"/>
      <c r="V53" s="129">
        <v>119.1</v>
      </c>
      <c r="W53" s="129">
        <v>0</v>
      </c>
      <c r="X53" s="129">
        <v>10</v>
      </c>
      <c r="Y53" s="130">
        <f t="shared" si="25"/>
        <v>109.1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493.9</v>
      </c>
      <c r="E54" s="129">
        <v>480.7</v>
      </c>
      <c r="F54" s="129">
        <v>409.5</v>
      </c>
      <c r="G54" s="130">
        <f t="shared" si="22"/>
        <v>565.09999999999991</v>
      </c>
      <c r="H54" s="108"/>
      <c r="I54" s="3"/>
      <c r="J54" s="129">
        <v>565.1</v>
      </c>
      <c r="K54" s="129">
        <v>523</v>
      </c>
      <c r="L54" s="129">
        <v>600</v>
      </c>
      <c r="M54" s="130">
        <f t="shared" si="23"/>
        <v>488.09999999999991</v>
      </c>
      <c r="N54" s="3"/>
      <c r="O54" s="3"/>
      <c r="P54" s="129">
        <v>565.1</v>
      </c>
      <c r="Q54" s="129">
        <v>251.9</v>
      </c>
      <c r="R54" s="129">
        <v>221.2</v>
      </c>
      <c r="S54" s="130">
        <f t="shared" si="24"/>
        <v>595.79999999999995</v>
      </c>
      <c r="T54" s="3"/>
      <c r="U54" s="3"/>
      <c r="V54" s="129">
        <v>488.1</v>
      </c>
      <c r="W54" s="129">
        <v>530</v>
      </c>
      <c r="X54" s="129">
        <v>600</v>
      </c>
      <c r="Y54" s="130">
        <f t="shared" si="25"/>
        <v>418.1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68.825999999999993</v>
      </c>
      <c r="E57" s="132">
        <v>67.400000000000006</v>
      </c>
      <c r="F57" s="108"/>
      <c r="G57" s="108"/>
      <c r="H57" s="108"/>
      <c r="I57" s="115"/>
      <c r="J57" s="132">
        <v>69</v>
      </c>
      <c r="K57" s="108"/>
      <c r="L57" s="108"/>
      <c r="M57" s="108"/>
      <c r="N57" s="108"/>
      <c r="O57" s="115"/>
      <c r="P57" s="132">
        <v>68.2</v>
      </c>
      <c r="Q57" s="115"/>
      <c r="R57" s="115"/>
      <c r="S57" s="115"/>
      <c r="T57" s="115"/>
      <c r="U57" s="115"/>
      <c r="V57" s="132">
        <v>70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65" t="s">
        <v>159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137" t="s">
        <v>160</v>
      </c>
      <c r="C61" s="110" t="s">
        <v>161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174" t="s">
        <v>162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 t="s">
        <v>163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95" t="s">
        <v>164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 t="s">
        <v>165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95" t="s">
        <v>166</v>
      </c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43699</v>
      </c>
      <c r="D91" s="156" t="s">
        <v>105</v>
      </c>
      <c r="E91" s="313" t="s">
        <v>167</v>
      </c>
      <c r="F91" s="313"/>
      <c r="G91" s="313"/>
      <c r="H91" s="156"/>
      <c r="I91" s="156" t="s">
        <v>107</v>
      </c>
      <c r="J91" s="314" t="s">
        <v>168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2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J13:L13"/>
    <mergeCell ref="M13:M14"/>
    <mergeCell ref="N13:N14"/>
    <mergeCell ref="O13:O14"/>
    <mergeCell ref="P13:R13"/>
    <mergeCell ref="AB25:AB27"/>
    <mergeCell ref="J26:L26"/>
    <mergeCell ref="M26:M27"/>
    <mergeCell ref="N26:N27"/>
    <mergeCell ref="O26:O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E91:G91"/>
    <mergeCell ref="J91:M91"/>
    <mergeCell ref="Z26:Z27"/>
    <mergeCell ref="AA26:AA27"/>
    <mergeCell ref="C43:C44"/>
    <mergeCell ref="C46:C47"/>
    <mergeCell ref="D59:U59"/>
    <mergeCell ref="B82:U82"/>
    <mergeCell ref="P26:R26"/>
    <mergeCell ref="S26:S27"/>
    <mergeCell ref="T26:T27"/>
    <mergeCell ref="U26:U27"/>
    <mergeCell ref="V26:X26"/>
    <mergeCell ref="Y26:Y27"/>
    <mergeCell ref="B26:B27"/>
    <mergeCell ref="C26:C27"/>
  </mergeCells>
  <conditionalFormatting sqref="AB15:AB25">
    <cfRule type="cellIs" dxfId="29" priority="3" operator="equal">
      <formula>0</formula>
    </cfRule>
    <cfRule type="containsErrors" dxfId="28" priority="4">
      <formula>ISERROR(AB15)</formula>
    </cfRule>
  </conditionalFormatting>
  <conditionalFormatting sqref="AB28:AB41">
    <cfRule type="cellIs" dxfId="27" priority="1" operator="equal">
      <formula>0</formula>
    </cfRule>
    <cfRule type="containsErrors" dxfId="26" priority="2">
      <formula>ISERROR(AB28)</formula>
    </cfRule>
  </conditionalFormatting>
  <pageMargins left="0.51181102362204722" right="0.51181102362204722" top="0.78740157480314965" bottom="0.78740157480314965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="80" zoomScaleNormal="80" zoomScaleSheetLayoutView="80" workbookViewId="0">
      <selection activeCell="B61" sqref="B61:U6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60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358" t="s">
        <v>169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6">
        <v>46789791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359" t="s">
        <v>170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360" t="s">
        <v>6</v>
      </c>
      <c r="C10" s="329" t="s">
        <v>7</v>
      </c>
      <c r="D10" s="346" t="s">
        <v>8</v>
      </c>
      <c r="E10" s="347"/>
      <c r="F10" s="347"/>
      <c r="G10" s="347"/>
      <c r="H10" s="347"/>
      <c r="I10" s="348"/>
      <c r="J10" s="346" t="s">
        <v>171</v>
      </c>
      <c r="K10" s="347"/>
      <c r="L10" s="347"/>
      <c r="M10" s="347"/>
      <c r="N10" s="347"/>
      <c r="O10" s="348"/>
      <c r="P10" s="346" t="s">
        <v>10</v>
      </c>
      <c r="Q10" s="347"/>
      <c r="R10" s="347"/>
      <c r="S10" s="347"/>
      <c r="T10" s="347"/>
      <c r="U10" s="348"/>
      <c r="V10" s="346" t="s">
        <v>11</v>
      </c>
      <c r="W10" s="347"/>
      <c r="X10" s="347"/>
      <c r="Y10" s="347"/>
      <c r="Z10" s="347"/>
      <c r="AA10" s="348"/>
      <c r="AB10" s="349" t="s">
        <v>12</v>
      </c>
      <c r="AC10" s="3"/>
      <c r="AD10" s="3"/>
    </row>
    <row r="11" spans="1:30" ht="30.75" customHeight="1" thickBot="1" x14ac:dyDescent="0.3">
      <c r="A11" s="1"/>
      <c r="B11" s="361"/>
      <c r="C11" s="330"/>
      <c r="D11" s="352" t="s">
        <v>13</v>
      </c>
      <c r="E11" s="353"/>
      <c r="F11" s="353"/>
      <c r="G11" s="354"/>
      <c r="H11" s="8" t="s">
        <v>14</v>
      </c>
      <c r="I11" s="8" t="s">
        <v>15</v>
      </c>
      <c r="J11" s="352" t="s">
        <v>13</v>
      </c>
      <c r="K11" s="353"/>
      <c r="L11" s="353"/>
      <c r="M11" s="354"/>
      <c r="N11" s="8" t="s">
        <v>14</v>
      </c>
      <c r="O11" s="8" t="s">
        <v>15</v>
      </c>
      <c r="P11" s="352" t="s">
        <v>13</v>
      </c>
      <c r="Q11" s="353"/>
      <c r="R11" s="353"/>
      <c r="S11" s="354"/>
      <c r="T11" s="8" t="s">
        <v>14</v>
      </c>
      <c r="U11" s="8" t="s">
        <v>15</v>
      </c>
      <c r="V11" s="352" t="s">
        <v>13</v>
      </c>
      <c r="W11" s="353"/>
      <c r="X11" s="353"/>
      <c r="Y11" s="354"/>
      <c r="Z11" s="8" t="s">
        <v>14</v>
      </c>
      <c r="AA11" s="8" t="s">
        <v>15</v>
      </c>
      <c r="AB11" s="350"/>
      <c r="AC11" s="3"/>
      <c r="AD11" s="3"/>
    </row>
    <row r="12" spans="1:30" ht="15.75" customHeight="1" thickBot="1" x14ac:dyDescent="0.3">
      <c r="A12" s="1"/>
      <c r="B12" s="361"/>
      <c r="C12" s="363"/>
      <c r="D12" s="355" t="s">
        <v>16</v>
      </c>
      <c r="E12" s="356"/>
      <c r="F12" s="356"/>
      <c r="G12" s="356"/>
      <c r="H12" s="356"/>
      <c r="I12" s="357"/>
      <c r="J12" s="355" t="s">
        <v>16</v>
      </c>
      <c r="K12" s="356"/>
      <c r="L12" s="356"/>
      <c r="M12" s="356"/>
      <c r="N12" s="356"/>
      <c r="O12" s="357"/>
      <c r="P12" s="355" t="s">
        <v>16</v>
      </c>
      <c r="Q12" s="356"/>
      <c r="R12" s="356"/>
      <c r="S12" s="356"/>
      <c r="T12" s="356"/>
      <c r="U12" s="357"/>
      <c r="V12" s="355" t="s">
        <v>16</v>
      </c>
      <c r="W12" s="356"/>
      <c r="X12" s="356"/>
      <c r="Y12" s="356"/>
      <c r="Z12" s="356"/>
      <c r="AA12" s="357"/>
      <c r="AB12" s="350"/>
      <c r="AC12" s="3"/>
      <c r="AD12" s="3"/>
    </row>
    <row r="13" spans="1:30" ht="15.75" customHeight="1" thickBot="1" x14ac:dyDescent="0.3">
      <c r="A13" s="1"/>
      <c r="B13" s="362"/>
      <c r="C13" s="364"/>
      <c r="D13" s="344" t="s">
        <v>17</v>
      </c>
      <c r="E13" s="345"/>
      <c r="F13" s="345"/>
      <c r="G13" s="340" t="s">
        <v>18</v>
      </c>
      <c r="H13" s="342" t="s">
        <v>19</v>
      </c>
      <c r="I13" s="331" t="s">
        <v>16</v>
      </c>
      <c r="J13" s="344" t="s">
        <v>17</v>
      </c>
      <c r="K13" s="345"/>
      <c r="L13" s="345"/>
      <c r="M13" s="340" t="s">
        <v>18</v>
      </c>
      <c r="N13" s="342" t="s">
        <v>19</v>
      </c>
      <c r="O13" s="331" t="s">
        <v>16</v>
      </c>
      <c r="P13" s="344" t="s">
        <v>17</v>
      </c>
      <c r="Q13" s="345"/>
      <c r="R13" s="345"/>
      <c r="S13" s="340" t="s">
        <v>18</v>
      </c>
      <c r="T13" s="342" t="s">
        <v>19</v>
      </c>
      <c r="U13" s="331" t="s">
        <v>16</v>
      </c>
      <c r="V13" s="344" t="s">
        <v>17</v>
      </c>
      <c r="W13" s="345"/>
      <c r="X13" s="345"/>
      <c r="Y13" s="340" t="s">
        <v>18</v>
      </c>
      <c r="Z13" s="342" t="s">
        <v>19</v>
      </c>
      <c r="AA13" s="331" t="s">
        <v>16</v>
      </c>
      <c r="AB13" s="350"/>
      <c r="AC13" s="3"/>
      <c r="AD13" s="3"/>
    </row>
    <row r="14" spans="1:30" ht="15.75" thickBot="1" x14ac:dyDescent="0.3">
      <c r="A14" s="1"/>
      <c r="B14" s="9"/>
      <c r="C14" s="10"/>
      <c r="D14" s="11" t="s">
        <v>20</v>
      </c>
      <c r="E14" s="12" t="s">
        <v>21</v>
      </c>
      <c r="F14" s="12" t="s">
        <v>22</v>
      </c>
      <c r="G14" s="341"/>
      <c r="H14" s="343"/>
      <c r="I14" s="332"/>
      <c r="J14" s="11" t="s">
        <v>20</v>
      </c>
      <c r="K14" s="12" t="s">
        <v>21</v>
      </c>
      <c r="L14" s="12" t="s">
        <v>22</v>
      </c>
      <c r="M14" s="341"/>
      <c r="N14" s="343"/>
      <c r="O14" s="332"/>
      <c r="P14" s="11" t="s">
        <v>20</v>
      </c>
      <c r="Q14" s="12" t="s">
        <v>21</v>
      </c>
      <c r="R14" s="12" t="s">
        <v>22</v>
      </c>
      <c r="S14" s="341"/>
      <c r="T14" s="343"/>
      <c r="U14" s="332"/>
      <c r="V14" s="11" t="s">
        <v>20</v>
      </c>
      <c r="W14" s="12" t="s">
        <v>21</v>
      </c>
      <c r="X14" s="12" t="s">
        <v>22</v>
      </c>
      <c r="Y14" s="341"/>
      <c r="Z14" s="343"/>
      <c r="AA14" s="332"/>
      <c r="AB14" s="351"/>
      <c r="AC14" s="3"/>
      <c r="AD14" s="3"/>
    </row>
    <row r="15" spans="1:30" x14ac:dyDescent="0.25">
      <c r="A15" s="1"/>
      <c r="B15" s="13" t="s">
        <v>23</v>
      </c>
      <c r="C15" s="14" t="s">
        <v>172</v>
      </c>
      <c r="D15" s="15"/>
      <c r="E15" s="16"/>
      <c r="F15" s="17">
        <v>498.6</v>
      </c>
      <c r="G15" s="18">
        <f>SUM(D15:F15)</f>
        <v>498.6</v>
      </c>
      <c r="H15" s="19">
        <v>257.60000000000002</v>
      </c>
      <c r="I15" s="20">
        <f>G15+H15</f>
        <v>756.2</v>
      </c>
      <c r="J15" s="15"/>
      <c r="K15" s="16"/>
      <c r="L15" s="17">
        <v>400</v>
      </c>
      <c r="M15" s="18">
        <f t="shared" ref="M15:M23" si="0">SUM(J15:L15)</f>
        <v>400</v>
      </c>
      <c r="N15" s="19">
        <v>200</v>
      </c>
      <c r="O15" s="20">
        <f>M15+N15</f>
        <v>600</v>
      </c>
      <c r="P15" s="15"/>
      <c r="Q15" s="16"/>
      <c r="R15" s="17">
        <v>287.39999999999998</v>
      </c>
      <c r="S15" s="18">
        <f>SUM(P15:R15)</f>
        <v>287.39999999999998</v>
      </c>
      <c r="T15" s="19">
        <v>171.3</v>
      </c>
      <c r="U15" s="20">
        <f>S15+T15</f>
        <v>458.7</v>
      </c>
      <c r="V15" s="15"/>
      <c r="W15" s="16"/>
      <c r="X15" s="17">
        <v>400</v>
      </c>
      <c r="Y15" s="18">
        <f>SUM(V15:X15)</f>
        <v>400</v>
      </c>
      <c r="Z15" s="19">
        <v>200</v>
      </c>
      <c r="AA15" s="20">
        <f>Y15+Z15</f>
        <v>600</v>
      </c>
      <c r="AB15" s="21">
        <f>(AA15/O15)</f>
        <v>1</v>
      </c>
      <c r="AC15" s="3"/>
      <c r="AD15" s="3"/>
    </row>
    <row r="16" spans="1:30" x14ac:dyDescent="0.25">
      <c r="A16" s="1"/>
      <c r="B16" s="22" t="s">
        <v>25</v>
      </c>
      <c r="C16" s="23" t="s">
        <v>26</v>
      </c>
      <c r="D16" s="24">
        <v>4260</v>
      </c>
      <c r="E16" s="25"/>
      <c r="F16" s="25"/>
      <c r="G16" s="26">
        <f t="shared" ref="G16:G23" si="1">SUM(D16:F16)</f>
        <v>4260</v>
      </c>
      <c r="H16" s="27"/>
      <c r="I16" s="20">
        <f t="shared" ref="I16:I23" si="2">G16+H16</f>
        <v>4260</v>
      </c>
      <c r="J16" s="24">
        <v>4260</v>
      </c>
      <c r="K16" s="25"/>
      <c r="L16" s="25"/>
      <c r="M16" s="26">
        <f t="shared" si="0"/>
        <v>4260</v>
      </c>
      <c r="N16" s="27"/>
      <c r="O16" s="20">
        <f t="shared" ref="O16:O20" si="3">M16+N16</f>
        <v>4260</v>
      </c>
      <c r="P16" s="24">
        <v>2270</v>
      </c>
      <c r="Q16" s="25"/>
      <c r="R16" s="25"/>
      <c r="S16" s="26">
        <f t="shared" ref="S16:S23" si="4">SUM(P16:R16)</f>
        <v>2270</v>
      </c>
      <c r="T16" s="27"/>
      <c r="U16" s="20">
        <f t="shared" ref="U16:U20" si="5">S16+T16</f>
        <v>2270</v>
      </c>
      <c r="V16" s="24">
        <v>4370</v>
      </c>
      <c r="W16" s="25"/>
      <c r="X16" s="25"/>
      <c r="Y16" s="26">
        <f t="shared" ref="Y16:Y23" si="6">SUM(V16:X16)</f>
        <v>4370</v>
      </c>
      <c r="Z16" s="27"/>
      <c r="AA16" s="20">
        <f t="shared" ref="AA16:AA20" si="7">Y16+Z16</f>
        <v>4370</v>
      </c>
      <c r="AB16" s="21">
        <f t="shared" ref="AB16:AB24" si="8">(AA16/O16)</f>
        <v>1.0258215962441315</v>
      </c>
      <c r="AC16" s="3"/>
      <c r="AD16" s="3"/>
    </row>
    <row r="17" spans="1:30" x14ac:dyDescent="0.25">
      <c r="A17" s="1"/>
      <c r="B17" s="22" t="s">
        <v>27</v>
      </c>
      <c r="C17" s="28" t="s">
        <v>28</v>
      </c>
      <c r="D17" s="29">
        <v>190</v>
      </c>
      <c r="E17" s="30">
        <v>44</v>
      </c>
      <c r="F17" s="30"/>
      <c r="G17" s="26">
        <f t="shared" si="1"/>
        <v>234</v>
      </c>
      <c r="H17" s="31"/>
      <c r="I17" s="20">
        <f t="shared" si="2"/>
        <v>234</v>
      </c>
      <c r="J17" s="29"/>
      <c r="K17" s="30"/>
      <c r="L17" s="30"/>
      <c r="M17" s="26">
        <f t="shared" si="0"/>
        <v>0</v>
      </c>
      <c r="N17" s="31"/>
      <c r="O17" s="20">
        <f t="shared" si="3"/>
        <v>0</v>
      </c>
      <c r="P17" s="29">
        <v>169.3</v>
      </c>
      <c r="Q17" s="30">
        <v>41.5</v>
      </c>
      <c r="R17" s="30"/>
      <c r="S17" s="26">
        <f t="shared" si="4"/>
        <v>210.8</v>
      </c>
      <c r="T17" s="31"/>
      <c r="U17" s="20">
        <f t="shared" si="5"/>
        <v>210.8</v>
      </c>
      <c r="V17" s="29"/>
      <c r="W17" s="30"/>
      <c r="X17" s="30"/>
      <c r="Y17" s="26">
        <f t="shared" si="6"/>
        <v>0</v>
      </c>
      <c r="Z17" s="31"/>
      <c r="AA17" s="20">
        <f t="shared" si="7"/>
        <v>0</v>
      </c>
      <c r="AB17" s="21" t="e">
        <f t="shared" si="8"/>
        <v>#DIV/0!</v>
      </c>
      <c r="AC17" s="3"/>
      <c r="AD17" s="3"/>
    </row>
    <row r="18" spans="1:30" x14ac:dyDescent="0.25">
      <c r="A18" s="1"/>
      <c r="B18" s="22" t="s">
        <v>29</v>
      </c>
      <c r="C18" s="32" t="s">
        <v>30</v>
      </c>
      <c r="D18" s="33">
        <v>0</v>
      </c>
      <c r="E18" s="34">
        <v>37732.300000000003</v>
      </c>
      <c r="F18" s="30"/>
      <c r="G18" s="26">
        <f t="shared" si="1"/>
        <v>37732.300000000003</v>
      </c>
      <c r="H18" s="19"/>
      <c r="I18" s="20">
        <f t="shared" si="2"/>
        <v>37732.300000000003</v>
      </c>
      <c r="J18" s="33"/>
      <c r="K18" s="34">
        <v>37345.300000000003</v>
      </c>
      <c r="L18" s="30"/>
      <c r="M18" s="26">
        <f t="shared" si="0"/>
        <v>37345.300000000003</v>
      </c>
      <c r="N18" s="19"/>
      <c r="O18" s="20">
        <f t="shared" si="3"/>
        <v>37345.300000000003</v>
      </c>
      <c r="P18" s="33"/>
      <c r="Q18" s="34">
        <v>19545</v>
      </c>
      <c r="R18" s="30"/>
      <c r="S18" s="26">
        <f t="shared" si="4"/>
        <v>19545</v>
      </c>
      <c r="T18" s="19"/>
      <c r="U18" s="20">
        <f t="shared" si="5"/>
        <v>19545</v>
      </c>
      <c r="V18" s="33"/>
      <c r="W18" s="34">
        <v>40686</v>
      </c>
      <c r="X18" s="30"/>
      <c r="Y18" s="26">
        <f t="shared" si="6"/>
        <v>40686</v>
      </c>
      <c r="Z18" s="19"/>
      <c r="AA18" s="20">
        <f t="shared" si="7"/>
        <v>40686</v>
      </c>
      <c r="AB18" s="21">
        <f t="shared" si="8"/>
        <v>1.0894543623963389</v>
      </c>
      <c r="AC18" s="3"/>
      <c r="AD18" s="3"/>
    </row>
    <row r="19" spans="1:30" x14ac:dyDescent="0.25">
      <c r="A19" s="1"/>
      <c r="B19" s="22" t="s">
        <v>31</v>
      </c>
      <c r="C19" s="35" t="s">
        <v>32</v>
      </c>
      <c r="D19" s="36">
        <v>0</v>
      </c>
      <c r="E19" s="30"/>
      <c r="F19" s="37"/>
      <c r="G19" s="26">
        <f t="shared" si="1"/>
        <v>0</v>
      </c>
      <c r="H19" s="38">
        <v>0</v>
      </c>
      <c r="I19" s="20">
        <f t="shared" si="2"/>
        <v>0</v>
      </c>
      <c r="J19" s="36"/>
      <c r="K19" s="30"/>
      <c r="L19" s="37"/>
      <c r="M19" s="26">
        <f t="shared" si="0"/>
        <v>0</v>
      </c>
      <c r="N19" s="38"/>
      <c r="O19" s="20">
        <f t="shared" si="3"/>
        <v>0</v>
      </c>
      <c r="P19" s="36"/>
      <c r="Q19" s="30"/>
      <c r="R19" s="37"/>
      <c r="S19" s="26">
        <f t="shared" si="4"/>
        <v>0</v>
      </c>
      <c r="T19" s="38"/>
      <c r="U19" s="20">
        <f t="shared" si="5"/>
        <v>0</v>
      </c>
      <c r="V19" s="36"/>
      <c r="W19" s="30"/>
      <c r="X19" s="37"/>
      <c r="Y19" s="26">
        <f t="shared" si="6"/>
        <v>0</v>
      </c>
      <c r="Z19" s="38"/>
      <c r="AA19" s="20">
        <f t="shared" si="7"/>
        <v>0</v>
      </c>
      <c r="AB19" s="21" t="e">
        <f t="shared" si="8"/>
        <v>#DIV/0!</v>
      </c>
      <c r="AC19" s="3"/>
      <c r="AD19" s="3"/>
    </row>
    <row r="20" spans="1:30" x14ac:dyDescent="0.25">
      <c r="A20" s="1"/>
      <c r="B20" s="22" t="s">
        <v>33</v>
      </c>
      <c r="C20" s="39" t="s">
        <v>34</v>
      </c>
      <c r="D20" s="33">
        <v>0</v>
      </c>
      <c r="E20" s="25"/>
      <c r="F20" s="40">
        <v>406.7</v>
      </c>
      <c r="G20" s="26">
        <v>723.5</v>
      </c>
      <c r="H20" s="38">
        <v>0</v>
      </c>
      <c r="I20" s="20">
        <f t="shared" si="2"/>
        <v>723.5</v>
      </c>
      <c r="J20" s="33"/>
      <c r="K20" s="25"/>
      <c r="L20" s="40">
        <v>250</v>
      </c>
      <c r="M20" s="26">
        <f t="shared" si="0"/>
        <v>250</v>
      </c>
      <c r="N20" s="38"/>
      <c r="O20" s="20">
        <f t="shared" si="3"/>
        <v>250</v>
      </c>
      <c r="P20" s="33"/>
      <c r="Q20" s="25"/>
      <c r="R20" s="40">
        <v>291</v>
      </c>
      <c r="S20" s="26">
        <f t="shared" si="4"/>
        <v>291</v>
      </c>
      <c r="T20" s="38"/>
      <c r="U20" s="20">
        <f t="shared" si="5"/>
        <v>291</v>
      </c>
      <c r="V20" s="33"/>
      <c r="W20" s="25"/>
      <c r="X20" s="40">
        <v>250</v>
      </c>
      <c r="Y20" s="26">
        <f t="shared" si="6"/>
        <v>250</v>
      </c>
      <c r="Z20" s="38"/>
      <c r="AA20" s="20">
        <f t="shared" si="7"/>
        <v>250</v>
      </c>
      <c r="AB20" s="21">
        <f t="shared" si="8"/>
        <v>1</v>
      </c>
      <c r="AC20" s="3"/>
      <c r="AD20" s="3"/>
    </row>
    <row r="21" spans="1:30" x14ac:dyDescent="0.25">
      <c r="A21" s="1"/>
      <c r="B21" s="22" t="s">
        <v>35</v>
      </c>
      <c r="C21" s="41" t="s">
        <v>173</v>
      </c>
      <c r="D21" s="33"/>
      <c r="E21" s="25"/>
      <c r="F21" s="40">
        <v>19</v>
      </c>
      <c r="G21" s="26">
        <f t="shared" si="1"/>
        <v>19</v>
      </c>
      <c r="H21" s="42">
        <v>426.1</v>
      </c>
      <c r="I21" s="20">
        <f>G21+H21</f>
        <v>445.1</v>
      </c>
      <c r="J21" s="33"/>
      <c r="K21" s="25"/>
      <c r="L21" s="40"/>
      <c r="M21" s="26">
        <f t="shared" si="0"/>
        <v>0</v>
      </c>
      <c r="N21" s="42">
        <v>400</v>
      </c>
      <c r="O21" s="20">
        <f>M21+N21</f>
        <v>400</v>
      </c>
      <c r="P21" s="33"/>
      <c r="Q21" s="25"/>
      <c r="R21" s="40">
        <v>2</v>
      </c>
      <c r="S21" s="26">
        <f t="shared" si="4"/>
        <v>2</v>
      </c>
      <c r="T21" s="42">
        <v>228.2</v>
      </c>
      <c r="U21" s="20">
        <f>S21+T21</f>
        <v>230.2</v>
      </c>
      <c r="V21" s="33"/>
      <c r="W21" s="25"/>
      <c r="X21" s="40"/>
      <c r="Y21" s="26">
        <f t="shared" si="6"/>
        <v>0</v>
      </c>
      <c r="Z21" s="42">
        <v>363</v>
      </c>
      <c r="AA21" s="20">
        <f>Y21+Z21</f>
        <v>363</v>
      </c>
      <c r="AB21" s="21">
        <f t="shared" si="8"/>
        <v>0.90749999999999997</v>
      </c>
      <c r="AC21" s="3"/>
      <c r="AD21" s="3"/>
    </row>
    <row r="22" spans="1:30" x14ac:dyDescent="0.25">
      <c r="A22" s="1"/>
      <c r="B22" s="22" t="s">
        <v>37</v>
      </c>
      <c r="C22" s="41" t="s">
        <v>38</v>
      </c>
      <c r="D22" s="33"/>
      <c r="E22" s="25"/>
      <c r="F22" s="40"/>
      <c r="G22" s="26">
        <f t="shared" si="1"/>
        <v>0</v>
      </c>
      <c r="H22" s="42">
        <v>426.1</v>
      </c>
      <c r="I22" s="20">
        <f t="shared" si="2"/>
        <v>426.1</v>
      </c>
      <c r="J22" s="33"/>
      <c r="K22" s="25"/>
      <c r="L22" s="40"/>
      <c r="M22" s="26">
        <f t="shared" si="0"/>
        <v>0</v>
      </c>
      <c r="N22" s="42">
        <v>400</v>
      </c>
      <c r="O22" s="20">
        <f t="shared" ref="O22:O23" si="9">M22+N22</f>
        <v>400</v>
      </c>
      <c r="P22" s="33"/>
      <c r="Q22" s="25"/>
      <c r="R22" s="40"/>
      <c r="S22" s="26">
        <f t="shared" si="4"/>
        <v>0</v>
      </c>
      <c r="T22" s="42"/>
      <c r="U22" s="20">
        <f t="shared" ref="U22:U23" si="10">S22+T22</f>
        <v>0</v>
      </c>
      <c r="V22" s="33"/>
      <c r="W22" s="25"/>
      <c r="X22" s="40"/>
      <c r="Y22" s="26">
        <f t="shared" si="6"/>
        <v>0</v>
      </c>
      <c r="Z22" s="42">
        <v>363</v>
      </c>
      <c r="AA22" s="20">
        <f t="shared" ref="AA22:AA23" si="11">Y22+Z22</f>
        <v>363</v>
      </c>
      <c r="AB22" s="21">
        <f t="shared" si="8"/>
        <v>0.90749999999999997</v>
      </c>
      <c r="AC22" s="3"/>
      <c r="AD22" s="3"/>
    </row>
    <row r="23" spans="1:30" ht="15.75" thickBot="1" x14ac:dyDescent="0.3">
      <c r="A23" s="1"/>
      <c r="B23" s="43" t="s">
        <v>39</v>
      </c>
      <c r="C23" s="44" t="s">
        <v>40</v>
      </c>
      <c r="D23" s="45"/>
      <c r="E23" s="46"/>
      <c r="F23" s="47"/>
      <c r="G23" s="48">
        <f t="shared" si="1"/>
        <v>0</v>
      </c>
      <c r="H23" s="49">
        <v>0</v>
      </c>
      <c r="I23" s="50">
        <f t="shared" si="2"/>
        <v>0</v>
      </c>
      <c r="J23" s="45"/>
      <c r="K23" s="46"/>
      <c r="L23" s="47"/>
      <c r="M23" s="48">
        <f t="shared" si="0"/>
        <v>0</v>
      </c>
      <c r="N23" s="49">
        <v>0</v>
      </c>
      <c r="O23" s="50">
        <f t="shared" si="9"/>
        <v>0</v>
      </c>
      <c r="P23" s="45"/>
      <c r="Q23" s="46"/>
      <c r="R23" s="47"/>
      <c r="S23" s="48">
        <f t="shared" si="4"/>
        <v>0</v>
      </c>
      <c r="T23" s="49"/>
      <c r="U23" s="50">
        <f t="shared" si="10"/>
        <v>0</v>
      </c>
      <c r="V23" s="45"/>
      <c r="W23" s="46"/>
      <c r="X23" s="47"/>
      <c r="Y23" s="48">
        <f t="shared" si="6"/>
        <v>0</v>
      </c>
      <c r="Z23" s="49"/>
      <c r="AA23" s="50">
        <f t="shared" si="11"/>
        <v>0</v>
      </c>
      <c r="AB23" s="51" t="e">
        <f t="shared" si="8"/>
        <v>#DIV/0!</v>
      </c>
      <c r="AC23" s="3"/>
      <c r="AD23" s="3"/>
    </row>
    <row r="24" spans="1:30" ht="15.75" thickBot="1" x14ac:dyDescent="0.3">
      <c r="A24" s="1"/>
      <c r="B24" s="52" t="s">
        <v>41</v>
      </c>
      <c r="C24" s="53" t="s">
        <v>42</v>
      </c>
      <c r="D24" s="54">
        <f>SUM(D15:D21)</f>
        <v>4450</v>
      </c>
      <c r="E24" s="55">
        <f>SUM(E15:E21)</f>
        <v>37776.300000000003</v>
      </c>
      <c r="F24" s="55">
        <f>SUM(F15:F21)</f>
        <v>924.3</v>
      </c>
      <c r="G24" s="56">
        <f>SUM(D24:F24)</f>
        <v>43150.600000000006</v>
      </c>
      <c r="H24" s="57">
        <f>SUM(H15:H21)</f>
        <v>683.7</v>
      </c>
      <c r="I24" s="57">
        <f>SUM(I15:I21)</f>
        <v>44151.1</v>
      </c>
      <c r="J24" s="54">
        <f>SUM(J15:J21)</f>
        <v>4260</v>
      </c>
      <c r="K24" s="55">
        <f>SUM(K15:K21)</f>
        <v>37345.300000000003</v>
      </c>
      <c r="L24" s="55">
        <f>SUM(L15:L21)</f>
        <v>650</v>
      </c>
      <c r="M24" s="56">
        <f>SUM(J24:L24)</f>
        <v>42255.3</v>
      </c>
      <c r="N24" s="57">
        <f>SUM(N15:N21)</f>
        <v>600</v>
      </c>
      <c r="O24" s="57">
        <f>SUM(O15:O21)</f>
        <v>42855.3</v>
      </c>
      <c r="P24" s="54">
        <f>SUM(P15:P21)</f>
        <v>2439.3000000000002</v>
      </c>
      <c r="Q24" s="55">
        <f>SUM(Q15:Q21)</f>
        <v>19586.5</v>
      </c>
      <c r="R24" s="55">
        <f>SUM(R15:R21)</f>
        <v>580.4</v>
      </c>
      <c r="S24" s="56">
        <f>SUM(P24:R24)</f>
        <v>22606.2</v>
      </c>
      <c r="T24" s="57">
        <f>SUM(T15:T21)</f>
        <v>399.5</v>
      </c>
      <c r="U24" s="57">
        <f>SUM(U15:U21)</f>
        <v>23005.7</v>
      </c>
      <c r="V24" s="54">
        <f>SUM(V15:V21)</f>
        <v>4370</v>
      </c>
      <c r="W24" s="55">
        <f>SUM(W15:W21)</f>
        <v>40686</v>
      </c>
      <c r="X24" s="55">
        <f>SUM(X15:X21)</f>
        <v>650</v>
      </c>
      <c r="Y24" s="56">
        <f>SUM(V24:X24)</f>
        <v>45706</v>
      </c>
      <c r="Z24" s="57">
        <f>SUM(Z15:Z21)</f>
        <v>563</v>
      </c>
      <c r="AA24" s="57">
        <f>SUM(AA15:AA21)</f>
        <v>46269</v>
      </c>
      <c r="AB24" s="58">
        <f t="shared" si="8"/>
        <v>1.0796564252262846</v>
      </c>
      <c r="AC24" s="3"/>
      <c r="AD24" s="3"/>
    </row>
    <row r="25" spans="1:30" ht="15.75" customHeight="1" thickBot="1" x14ac:dyDescent="0.3">
      <c r="A25" s="1"/>
      <c r="B25" s="59"/>
      <c r="C25" s="60"/>
      <c r="D25" s="333" t="s">
        <v>43</v>
      </c>
      <c r="E25" s="334"/>
      <c r="F25" s="334"/>
      <c r="G25" s="335"/>
      <c r="H25" s="335"/>
      <c r="I25" s="336"/>
      <c r="J25" s="333" t="s">
        <v>43</v>
      </c>
      <c r="K25" s="334"/>
      <c r="L25" s="334"/>
      <c r="M25" s="335"/>
      <c r="N25" s="335"/>
      <c r="O25" s="336"/>
      <c r="P25" s="333" t="s">
        <v>43</v>
      </c>
      <c r="Q25" s="334"/>
      <c r="R25" s="334"/>
      <c r="S25" s="335"/>
      <c r="T25" s="335"/>
      <c r="U25" s="336"/>
      <c r="V25" s="333" t="s">
        <v>43</v>
      </c>
      <c r="W25" s="334"/>
      <c r="X25" s="334"/>
      <c r="Y25" s="335"/>
      <c r="Z25" s="335"/>
      <c r="AA25" s="336"/>
      <c r="AB25" s="337" t="s">
        <v>12</v>
      </c>
      <c r="AC25" s="3"/>
      <c r="AD25" s="3"/>
    </row>
    <row r="26" spans="1:30" ht="15.75" thickBot="1" x14ac:dyDescent="0.3">
      <c r="A26" s="1"/>
      <c r="B26" s="327" t="s">
        <v>6</v>
      </c>
      <c r="C26" s="329" t="s">
        <v>7</v>
      </c>
      <c r="D26" s="323" t="s">
        <v>44</v>
      </c>
      <c r="E26" s="324"/>
      <c r="F26" s="324"/>
      <c r="G26" s="325" t="s">
        <v>45</v>
      </c>
      <c r="H26" s="315" t="s">
        <v>46</v>
      </c>
      <c r="I26" s="317" t="s">
        <v>43</v>
      </c>
      <c r="J26" s="323" t="s">
        <v>44</v>
      </c>
      <c r="K26" s="324"/>
      <c r="L26" s="324"/>
      <c r="M26" s="325" t="s">
        <v>45</v>
      </c>
      <c r="N26" s="315" t="s">
        <v>46</v>
      </c>
      <c r="O26" s="317" t="s">
        <v>43</v>
      </c>
      <c r="P26" s="323" t="s">
        <v>44</v>
      </c>
      <c r="Q26" s="324"/>
      <c r="R26" s="324"/>
      <c r="S26" s="325" t="s">
        <v>45</v>
      </c>
      <c r="T26" s="315" t="s">
        <v>46</v>
      </c>
      <c r="U26" s="317" t="s">
        <v>43</v>
      </c>
      <c r="V26" s="323" t="s">
        <v>44</v>
      </c>
      <c r="W26" s="324"/>
      <c r="X26" s="324"/>
      <c r="Y26" s="325" t="s">
        <v>45</v>
      </c>
      <c r="Z26" s="315" t="s">
        <v>46</v>
      </c>
      <c r="AA26" s="317" t="s">
        <v>43</v>
      </c>
      <c r="AB26" s="338"/>
      <c r="AC26" s="3"/>
      <c r="AD26" s="3"/>
    </row>
    <row r="27" spans="1:30" ht="15.75" thickBot="1" x14ac:dyDescent="0.3">
      <c r="A27" s="1"/>
      <c r="B27" s="328"/>
      <c r="C27" s="330"/>
      <c r="D27" s="61" t="s">
        <v>47</v>
      </c>
      <c r="E27" s="62" t="s">
        <v>48</v>
      </c>
      <c r="F27" s="63" t="s">
        <v>49</v>
      </c>
      <c r="G27" s="326"/>
      <c r="H27" s="316"/>
      <c r="I27" s="318"/>
      <c r="J27" s="61" t="s">
        <v>47</v>
      </c>
      <c r="K27" s="62" t="s">
        <v>48</v>
      </c>
      <c r="L27" s="63" t="s">
        <v>49</v>
      </c>
      <c r="M27" s="326"/>
      <c r="N27" s="316"/>
      <c r="O27" s="318"/>
      <c r="P27" s="61" t="s">
        <v>47</v>
      </c>
      <c r="Q27" s="62" t="s">
        <v>48</v>
      </c>
      <c r="R27" s="63" t="s">
        <v>49</v>
      </c>
      <c r="S27" s="326"/>
      <c r="T27" s="316"/>
      <c r="U27" s="318"/>
      <c r="V27" s="61" t="s">
        <v>47</v>
      </c>
      <c r="W27" s="62" t="s">
        <v>48</v>
      </c>
      <c r="X27" s="63" t="s">
        <v>49</v>
      </c>
      <c r="Y27" s="326"/>
      <c r="Z27" s="316"/>
      <c r="AA27" s="318"/>
      <c r="AB27" s="339"/>
      <c r="AC27" s="3"/>
      <c r="AD27" s="3"/>
    </row>
    <row r="28" spans="1:30" x14ac:dyDescent="0.25">
      <c r="A28" s="1"/>
      <c r="B28" s="13" t="s">
        <v>50</v>
      </c>
      <c r="C28" s="64" t="s">
        <v>51</v>
      </c>
      <c r="D28" s="65">
        <v>804.6</v>
      </c>
      <c r="E28" s="65">
        <v>0</v>
      </c>
      <c r="F28" s="65">
        <v>0</v>
      </c>
      <c r="G28" s="66">
        <f>SUM(D28:F28)</f>
        <v>804.6</v>
      </c>
      <c r="H28" s="66">
        <v>0</v>
      </c>
      <c r="I28" s="67">
        <f>G28+H28</f>
        <v>804.6</v>
      </c>
      <c r="J28" s="68">
        <v>500</v>
      </c>
      <c r="K28" s="65">
        <v>0</v>
      </c>
      <c r="L28" s="65">
        <v>100</v>
      </c>
      <c r="M28" s="66">
        <f>SUM(J28:L28)</f>
        <v>600</v>
      </c>
      <c r="N28" s="66">
        <v>0</v>
      </c>
      <c r="O28" s="67">
        <f>M28+N28</f>
        <v>600</v>
      </c>
      <c r="P28" s="68">
        <v>14.3</v>
      </c>
      <c r="Q28" s="65">
        <v>0</v>
      </c>
      <c r="R28" s="65">
        <v>0</v>
      </c>
      <c r="S28" s="66">
        <f>SUM(P28:R28)</f>
        <v>14.3</v>
      </c>
      <c r="T28" s="66">
        <v>0</v>
      </c>
      <c r="U28" s="67">
        <f>S28+T28</f>
        <v>14.3</v>
      </c>
      <c r="V28" s="68">
        <v>515</v>
      </c>
      <c r="W28" s="65">
        <v>0</v>
      </c>
      <c r="X28" s="65">
        <v>0</v>
      </c>
      <c r="Y28" s="66">
        <f>SUM(V28:X28)</f>
        <v>515</v>
      </c>
      <c r="Z28" s="66">
        <v>0</v>
      </c>
      <c r="AA28" s="67">
        <f>Y28+Z28</f>
        <v>515</v>
      </c>
      <c r="AB28" s="21">
        <f t="shared" ref="AB28:AB41" si="12">(AA28/O28)</f>
        <v>0.85833333333333328</v>
      </c>
      <c r="AC28" s="3"/>
      <c r="AD28" s="3"/>
    </row>
    <row r="29" spans="1:30" x14ac:dyDescent="0.25">
      <c r="A29" s="1"/>
      <c r="B29" s="22" t="s">
        <v>52</v>
      </c>
      <c r="C29" s="69" t="s">
        <v>53</v>
      </c>
      <c r="D29" s="70">
        <v>642.1</v>
      </c>
      <c r="E29" s="70">
        <v>586.1</v>
      </c>
      <c r="F29" s="70">
        <v>350.8</v>
      </c>
      <c r="G29" s="71">
        <v>1896.8</v>
      </c>
      <c r="H29" s="72">
        <v>97.9</v>
      </c>
      <c r="I29" s="20">
        <f t="shared" ref="I29:I37" si="13">G29+H29</f>
        <v>1994.7</v>
      </c>
      <c r="J29" s="73">
        <v>640.5</v>
      </c>
      <c r="K29" s="70">
        <v>396</v>
      </c>
      <c r="L29" s="70">
        <v>200</v>
      </c>
      <c r="M29" s="71">
        <f t="shared" ref="M29:M38" si="14">SUM(J29:L29)</f>
        <v>1236.5</v>
      </c>
      <c r="N29" s="72">
        <v>400</v>
      </c>
      <c r="O29" s="20">
        <f t="shared" ref="O29:O38" si="15">M29+N29</f>
        <v>1636.5</v>
      </c>
      <c r="P29" s="73">
        <v>279</v>
      </c>
      <c r="Q29" s="70">
        <v>133.30000000000001</v>
      </c>
      <c r="R29" s="70">
        <v>324.3</v>
      </c>
      <c r="S29" s="71">
        <f t="shared" ref="S29:S38" si="16">SUM(P29:R29)</f>
        <v>736.6</v>
      </c>
      <c r="T29" s="72">
        <v>63.8</v>
      </c>
      <c r="U29" s="20">
        <f t="shared" ref="U29:U38" si="17">S29+T29</f>
        <v>800.4</v>
      </c>
      <c r="V29" s="73">
        <v>790</v>
      </c>
      <c r="W29" s="70">
        <v>500</v>
      </c>
      <c r="X29" s="70">
        <v>100</v>
      </c>
      <c r="Y29" s="71">
        <f t="shared" ref="Y29:Y38" si="18">SUM(V29:X29)</f>
        <v>1390</v>
      </c>
      <c r="Z29" s="72">
        <v>400</v>
      </c>
      <c r="AA29" s="20">
        <f t="shared" ref="AA29:AA38" si="19">Y29+Z29</f>
        <v>1790</v>
      </c>
      <c r="AB29" s="21">
        <f t="shared" si="12"/>
        <v>1.093797739077299</v>
      </c>
      <c r="AC29" s="3"/>
      <c r="AD29" s="3"/>
    </row>
    <row r="30" spans="1:30" x14ac:dyDescent="0.25">
      <c r="A30" s="1"/>
      <c r="B30" s="22" t="s">
        <v>54</v>
      </c>
      <c r="C30" s="41" t="s">
        <v>55</v>
      </c>
      <c r="D30" s="74">
        <v>1183.9000000000001</v>
      </c>
      <c r="E30" s="74">
        <v>0</v>
      </c>
      <c r="F30" s="74">
        <v>0</v>
      </c>
      <c r="G30" s="71">
        <f t="shared" ref="G30:G38" si="20">SUM(D30:F30)</f>
        <v>1183.9000000000001</v>
      </c>
      <c r="H30" s="71">
        <v>196.5</v>
      </c>
      <c r="I30" s="20">
        <f t="shared" si="13"/>
        <v>1380.4</v>
      </c>
      <c r="J30" s="75">
        <v>1336</v>
      </c>
      <c r="K30" s="74">
        <v>0</v>
      </c>
      <c r="L30" s="74">
        <v>120</v>
      </c>
      <c r="M30" s="71">
        <f t="shared" si="14"/>
        <v>1456</v>
      </c>
      <c r="N30" s="71">
        <v>150</v>
      </c>
      <c r="O30" s="20">
        <f t="shared" si="15"/>
        <v>1606</v>
      </c>
      <c r="P30" s="75">
        <v>1054.5</v>
      </c>
      <c r="Q30" s="74">
        <v>0</v>
      </c>
      <c r="R30" s="74">
        <v>0</v>
      </c>
      <c r="S30" s="71">
        <f t="shared" si="16"/>
        <v>1054.5</v>
      </c>
      <c r="T30" s="71">
        <v>0</v>
      </c>
      <c r="U30" s="20">
        <f t="shared" si="17"/>
        <v>1054.5</v>
      </c>
      <c r="V30" s="75">
        <v>1336</v>
      </c>
      <c r="W30" s="74">
        <v>0</v>
      </c>
      <c r="X30" s="74">
        <v>120</v>
      </c>
      <c r="Y30" s="71">
        <f t="shared" si="18"/>
        <v>1456</v>
      </c>
      <c r="Z30" s="71">
        <v>113</v>
      </c>
      <c r="AA30" s="20">
        <f t="shared" si="19"/>
        <v>1569</v>
      </c>
      <c r="AB30" s="21">
        <f t="shared" si="12"/>
        <v>0.97696139476961397</v>
      </c>
      <c r="AC30" s="3"/>
      <c r="AD30" s="3"/>
    </row>
    <row r="31" spans="1:30" x14ac:dyDescent="0.25">
      <c r="A31" s="1"/>
      <c r="B31" s="22" t="s">
        <v>57</v>
      </c>
      <c r="C31" s="41" t="s">
        <v>58</v>
      </c>
      <c r="D31" s="74">
        <v>846.5</v>
      </c>
      <c r="E31" s="74">
        <v>89.9</v>
      </c>
      <c r="F31" s="74">
        <v>32.6</v>
      </c>
      <c r="G31" s="71">
        <f t="shared" si="20"/>
        <v>969</v>
      </c>
      <c r="H31" s="71">
        <v>58</v>
      </c>
      <c r="I31" s="20">
        <f t="shared" si="13"/>
        <v>1027</v>
      </c>
      <c r="J31" s="75">
        <v>556</v>
      </c>
      <c r="K31" s="74">
        <v>55.2</v>
      </c>
      <c r="L31" s="74">
        <v>80</v>
      </c>
      <c r="M31" s="71">
        <f t="shared" si="14"/>
        <v>691.2</v>
      </c>
      <c r="N31" s="71">
        <v>0</v>
      </c>
      <c r="O31" s="20">
        <f t="shared" si="15"/>
        <v>691.2</v>
      </c>
      <c r="P31" s="75">
        <v>294.5</v>
      </c>
      <c r="Q31" s="74">
        <v>14</v>
      </c>
      <c r="R31" s="74">
        <v>24.5</v>
      </c>
      <c r="S31" s="71">
        <f t="shared" si="16"/>
        <v>333</v>
      </c>
      <c r="T31" s="71">
        <v>0</v>
      </c>
      <c r="U31" s="20">
        <f t="shared" si="17"/>
        <v>333</v>
      </c>
      <c r="V31" s="75">
        <v>825</v>
      </c>
      <c r="W31" s="74">
        <v>55</v>
      </c>
      <c r="X31" s="74">
        <v>80</v>
      </c>
      <c r="Y31" s="71">
        <f t="shared" si="18"/>
        <v>960</v>
      </c>
      <c r="Z31" s="71">
        <v>0</v>
      </c>
      <c r="AA31" s="20">
        <f t="shared" si="19"/>
        <v>960</v>
      </c>
      <c r="AB31" s="21">
        <f t="shared" si="12"/>
        <v>1.3888888888888888</v>
      </c>
      <c r="AC31" s="3"/>
      <c r="AD31" s="3"/>
    </row>
    <row r="32" spans="1:30" x14ac:dyDescent="0.25">
      <c r="A32" s="1"/>
      <c r="B32" s="22" t="s">
        <v>59</v>
      </c>
      <c r="C32" s="41" t="s">
        <v>60</v>
      </c>
      <c r="D32" s="76">
        <v>123.5</v>
      </c>
      <c r="E32" s="74">
        <v>27262.6</v>
      </c>
      <c r="F32" s="74">
        <v>317.7</v>
      </c>
      <c r="G32" s="71">
        <f t="shared" si="20"/>
        <v>27703.8</v>
      </c>
      <c r="H32" s="71">
        <v>79.8</v>
      </c>
      <c r="I32" s="20">
        <f t="shared" si="13"/>
        <v>27783.599999999999</v>
      </c>
      <c r="J32" s="77">
        <v>0</v>
      </c>
      <c r="K32" s="74">
        <v>26703.200000000001</v>
      </c>
      <c r="L32" s="74">
        <v>150</v>
      </c>
      <c r="M32" s="71">
        <f t="shared" si="14"/>
        <v>26853.200000000001</v>
      </c>
      <c r="N32" s="71">
        <v>50</v>
      </c>
      <c r="O32" s="20">
        <f t="shared" si="15"/>
        <v>26903.200000000001</v>
      </c>
      <c r="P32" s="77"/>
      <c r="Q32" s="74">
        <v>13721.7</v>
      </c>
      <c r="R32" s="74">
        <v>113.1</v>
      </c>
      <c r="S32" s="71">
        <f t="shared" si="16"/>
        <v>13834.800000000001</v>
      </c>
      <c r="T32" s="71">
        <v>0</v>
      </c>
      <c r="U32" s="20">
        <f t="shared" si="17"/>
        <v>13834.800000000001</v>
      </c>
      <c r="V32" s="77">
        <v>0</v>
      </c>
      <c r="W32" s="74">
        <v>29592</v>
      </c>
      <c r="X32" s="74">
        <v>150</v>
      </c>
      <c r="Y32" s="71">
        <f t="shared" si="18"/>
        <v>29742</v>
      </c>
      <c r="Z32" s="71">
        <v>50</v>
      </c>
      <c r="AA32" s="20">
        <f t="shared" si="19"/>
        <v>29792</v>
      </c>
      <c r="AB32" s="21">
        <f t="shared" si="12"/>
        <v>1.1073775610336316</v>
      </c>
      <c r="AC32" s="3"/>
      <c r="AD32" s="3"/>
    </row>
    <row r="33" spans="1:30" x14ac:dyDescent="0.25">
      <c r="A33" s="1"/>
      <c r="B33" s="22" t="s">
        <v>61</v>
      </c>
      <c r="C33" s="35" t="s">
        <v>62</v>
      </c>
      <c r="D33" s="76">
        <v>123.5</v>
      </c>
      <c r="E33" s="74">
        <v>26972.9</v>
      </c>
      <c r="F33" s="74">
        <v>189.8</v>
      </c>
      <c r="G33" s="71">
        <f t="shared" si="20"/>
        <v>27286.2</v>
      </c>
      <c r="H33" s="71">
        <v>79.8</v>
      </c>
      <c r="I33" s="20">
        <f t="shared" si="13"/>
        <v>27366</v>
      </c>
      <c r="J33" s="77">
        <v>0</v>
      </c>
      <c r="K33" s="74">
        <v>26693.200000000001</v>
      </c>
      <c r="L33" s="74"/>
      <c r="M33" s="71">
        <f t="shared" si="14"/>
        <v>26693.200000000001</v>
      </c>
      <c r="N33" s="71"/>
      <c r="O33" s="20">
        <f t="shared" si="15"/>
        <v>26693.200000000001</v>
      </c>
      <c r="P33" s="77"/>
      <c r="Q33" s="74">
        <v>13634.9</v>
      </c>
      <c r="R33" s="74">
        <v>0</v>
      </c>
      <c r="S33" s="71">
        <f t="shared" si="16"/>
        <v>13634.9</v>
      </c>
      <c r="T33" s="71">
        <v>0</v>
      </c>
      <c r="U33" s="20">
        <f t="shared" si="17"/>
        <v>13634.9</v>
      </c>
      <c r="V33" s="77">
        <v>0</v>
      </c>
      <c r="W33" s="74">
        <v>29592</v>
      </c>
      <c r="X33" s="74">
        <v>150</v>
      </c>
      <c r="Y33" s="71">
        <f t="shared" si="18"/>
        <v>29742</v>
      </c>
      <c r="Z33" s="71"/>
      <c r="AA33" s="20">
        <f t="shared" si="19"/>
        <v>29742</v>
      </c>
      <c r="AB33" s="21">
        <f t="shared" si="12"/>
        <v>1.1142163547270465</v>
      </c>
      <c r="AC33" s="3"/>
      <c r="AD33" s="3"/>
    </row>
    <row r="34" spans="1:30" x14ac:dyDescent="0.25">
      <c r="A34" s="1"/>
      <c r="B34" s="22" t="s">
        <v>63</v>
      </c>
      <c r="C34" s="78" t="s">
        <v>64</v>
      </c>
      <c r="D34" s="76">
        <v>0</v>
      </c>
      <c r="E34" s="74">
        <v>289.7</v>
      </c>
      <c r="F34" s="74">
        <v>127.9</v>
      </c>
      <c r="G34" s="71">
        <f t="shared" si="20"/>
        <v>417.6</v>
      </c>
      <c r="H34" s="71">
        <v>0</v>
      </c>
      <c r="I34" s="20">
        <f t="shared" si="13"/>
        <v>417.6</v>
      </c>
      <c r="J34" s="77">
        <v>0</v>
      </c>
      <c r="K34" s="74">
        <v>10</v>
      </c>
      <c r="L34" s="74"/>
      <c r="M34" s="71">
        <f>SUM(J34:L34)</f>
        <v>10</v>
      </c>
      <c r="N34" s="71"/>
      <c r="O34" s="20">
        <f t="shared" si="15"/>
        <v>10</v>
      </c>
      <c r="P34" s="77" t="s">
        <v>56</v>
      </c>
      <c r="Q34" s="74">
        <v>86.8</v>
      </c>
      <c r="R34" s="74">
        <v>115.2</v>
      </c>
      <c r="S34" s="71">
        <f t="shared" si="16"/>
        <v>202</v>
      </c>
      <c r="T34" s="71">
        <v>0</v>
      </c>
      <c r="U34" s="20">
        <f t="shared" si="17"/>
        <v>202</v>
      </c>
      <c r="V34" s="77">
        <v>0</v>
      </c>
      <c r="W34" s="74">
        <v>0</v>
      </c>
      <c r="X34" s="74">
        <v>0</v>
      </c>
      <c r="Y34" s="71">
        <f t="shared" si="18"/>
        <v>0</v>
      </c>
      <c r="Z34" s="71"/>
      <c r="AA34" s="20">
        <f t="shared" si="19"/>
        <v>0</v>
      </c>
      <c r="AB34" s="21">
        <f t="shared" si="12"/>
        <v>0</v>
      </c>
      <c r="AC34" s="3"/>
      <c r="AD34" s="3"/>
    </row>
    <row r="35" spans="1:30" x14ac:dyDescent="0.25">
      <c r="A35" s="1"/>
      <c r="B35" s="22" t="s">
        <v>65</v>
      </c>
      <c r="C35" s="41" t="s">
        <v>66</v>
      </c>
      <c r="D35" s="76">
        <v>106.5</v>
      </c>
      <c r="E35" s="74">
        <v>9133.6</v>
      </c>
      <c r="F35" s="74">
        <v>0</v>
      </c>
      <c r="G35" s="71">
        <f t="shared" si="20"/>
        <v>9240.1</v>
      </c>
      <c r="H35" s="71">
        <v>27.1</v>
      </c>
      <c r="I35" s="20">
        <f t="shared" si="13"/>
        <v>9267.2000000000007</v>
      </c>
      <c r="J35" s="77">
        <v>44</v>
      </c>
      <c r="K35" s="74">
        <v>9657</v>
      </c>
      <c r="L35" s="74"/>
      <c r="M35" s="71">
        <f t="shared" si="14"/>
        <v>9701</v>
      </c>
      <c r="N35" s="71"/>
      <c r="O35" s="20">
        <f t="shared" si="15"/>
        <v>9701</v>
      </c>
      <c r="P35" s="77"/>
      <c r="Q35" s="74">
        <v>4668.1000000000004</v>
      </c>
      <c r="R35" s="74">
        <v>0</v>
      </c>
      <c r="S35" s="71">
        <f t="shared" si="16"/>
        <v>4668.1000000000004</v>
      </c>
      <c r="T35" s="71">
        <v>0</v>
      </c>
      <c r="U35" s="20">
        <f t="shared" si="17"/>
        <v>4668.1000000000004</v>
      </c>
      <c r="V35" s="77">
        <v>44</v>
      </c>
      <c r="W35" s="74">
        <v>10005</v>
      </c>
      <c r="X35" s="74"/>
      <c r="Y35" s="71">
        <f t="shared" si="18"/>
        <v>10049</v>
      </c>
      <c r="Z35" s="71"/>
      <c r="AA35" s="20">
        <f t="shared" si="19"/>
        <v>10049</v>
      </c>
      <c r="AB35" s="21">
        <f t="shared" si="12"/>
        <v>1.0358725904545922</v>
      </c>
      <c r="AC35" s="3"/>
      <c r="AD35" s="3"/>
    </row>
    <row r="36" spans="1:30" x14ac:dyDescent="0.25">
      <c r="A36" s="1"/>
      <c r="B36" s="22" t="s">
        <v>67</v>
      </c>
      <c r="C36" s="41" t="s">
        <v>68</v>
      </c>
      <c r="D36" s="74">
        <v>0</v>
      </c>
      <c r="E36" s="74">
        <v>0</v>
      </c>
      <c r="F36" s="74">
        <v>0</v>
      </c>
      <c r="G36" s="71">
        <f t="shared" si="20"/>
        <v>0</v>
      </c>
      <c r="H36" s="71">
        <v>0</v>
      </c>
      <c r="I36" s="20">
        <f t="shared" si="13"/>
        <v>0</v>
      </c>
      <c r="J36" s="75">
        <v>0</v>
      </c>
      <c r="K36" s="74">
        <v>0</v>
      </c>
      <c r="L36" s="74"/>
      <c r="M36" s="71">
        <f t="shared" si="14"/>
        <v>0</v>
      </c>
      <c r="N36" s="71"/>
      <c r="O36" s="20">
        <f t="shared" si="15"/>
        <v>0</v>
      </c>
      <c r="P36" s="75"/>
      <c r="Q36" s="74">
        <v>0</v>
      </c>
      <c r="R36" s="74">
        <v>0</v>
      </c>
      <c r="S36" s="71">
        <f t="shared" si="16"/>
        <v>0</v>
      </c>
      <c r="T36" s="71">
        <v>0</v>
      </c>
      <c r="U36" s="20">
        <f t="shared" si="17"/>
        <v>0</v>
      </c>
      <c r="V36" s="75">
        <v>0</v>
      </c>
      <c r="W36" s="74">
        <v>0</v>
      </c>
      <c r="X36" s="74"/>
      <c r="Y36" s="71">
        <f t="shared" si="18"/>
        <v>0</v>
      </c>
      <c r="Z36" s="71"/>
      <c r="AA36" s="20">
        <f t="shared" si="19"/>
        <v>0</v>
      </c>
      <c r="AB36" s="21" t="e">
        <f t="shared" si="12"/>
        <v>#DIV/0!</v>
      </c>
      <c r="AC36" s="3"/>
      <c r="AD36" s="3"/>
    </row>
    <row r="37" spans="1:30" x14ac:dyDescent="0.25">
      <c r="A37" s="1"/>
      <c r="B37" s="22" t="s">
        <v>69</v>
      </c>
      <c r="C37" s="41" t="s">
        <v>70</v>
      </c>
      <c r="D37" s="74">
        <v>684.5</v>
      </c>
      <c r="E37" s="74">
        <v>0</v>
      </c>
      <c r="F37" s="74">
        <v>0</v>
      </c>
      <c r="G37" s="71">
        <f t="shared" si="20"/>
        <v>684.5</v>
      </c>
      <c r="H37" s="71">
        <v>0</v>
      </c>
      <c r="I37" s="20">
        <f t="shared" si="13"/>
        <v>684.5</v>
      </c>
      <c r="J37" s="75">
        <v>684.5</v>
      </c>
      <c r="K37" s="74">
        <v>0</v>
      </c>
      <c r="L37" s="74"/>
      <c r="M37" s="71">
        <f t="shared" si="14"/>
        <v>684.5</v>
      </c>
      <c r="N37" s="71"/>
      <c r="O37" s="20">
        <f t="shared" si="15"/>
        <v>684.5</v>
      </c>
      <c r="P37" s="75">
        <v>342.3</v>
      </c>
      <c r="Q37" s="74">
        <v>0</v>
      </c>
      <c r="R37" s="74">
        <v>0</v>
      </c>
      <c r="S37" s="71">
        <f t="shared" si="16"/>
        <v>342.3</v>
      </c>
      <c r="T37" s="71">
        <v>0</v>
      </c>
      <c r="U37" s="20">
        <f t="shared" si="17"/>
        <v>342.3</v>
      </c>
      <c r="V37" s="75">
        <v>670</v>
      </c>
      <c r="W37" s="74">
        <v>0</v>
      </c>
      <c r="X37" s="74"/>
      <c r="Y37" s="71">
        <f t="shared" si="18"/>
        <v>670</v>
      </c>
      <c r="Z37" s="71"/>
      <c r="AA37" s="20">
        <f t="shared" si="19"/>
        <v>670</v>
      </c>
      <c r="AB37" s="21">
        <f t="shared" si="12"/>
        <v>0.97881665449233013</v>
      </c>
      <c r="AC37" s="3"/>
      <c r="AD37" s="3"/>
    </row>
    <row r="38" spans="1:30" ht="15.75" thickBot="1" x14ac:dyDescent="0.3">
      <c r="A38" s="1"/>
      <c r="B38" s="79" t="s">
        <v>71</v>
      </c>
      <c r="C38" s="80" t="s">
        <v>72</v>
      </c>
      <c r="D38" s="81">
        <v>58.4</v>
      </c>
      <c r="E38" s="81">
        <v>704.1</v>
      </c>
      <c r="F38" s="81">
        <v>223.2</v>
      </c>
      <c r="G38" s="71">
        <f t="shared" si="20"/>
        <v>985.7</v>
      </c>
      <c r="H38" s="82">
        <v>1.6</v>
      </c>
      <c r="I38" s="50">
        <v>986.3</v>
      </c>
      <c r="J38" s="83">
        <v>499</v>
      </c>
      <c r="K38" s="81">
        <v>533.9</v>
      </c>
      <c r="L38" s="81"/>
      <c r="M38" s="82">
        <f t="shared" si="14"/>
        <v>1032.9000000000001</v>
      </c>
      <c r="N38" s="82"/>
      <c r="O38" s="50">
        <f t="shared" si="15"/>
        <v>1032.9000000000001</v>
      </c>
      <c r="P38" s="83">
        <v>27.7</v>
      </c>
      <c r="Q38" s="81">
        <v>287.89999999999998</v>
      </c>
      <c r="R38" s="81">
        <v>114.5</v>
      </c>
      <c r="S38" s="82">
        <f t="shared" si="16"/>
        <v>430.09999999999997</v>
      </c>
      <c r="T38" s="82"/>
      <c r="U38" s="50">
        <f t="shared" si="17"/>
        <v>430.09999999999997</v>
      </c>
      <c r="V38" s="83">
        <v>190</v>
      </c>
      <c r="W38" s="81">
        <v>534</v>
      </c>
      <c r="X38" s="81">
        <v>200</v>
      </c>
      <c r="Y38" s="82">
        <f t="shared" si="18"/>
        <v>924</v>
      </c>
      <c r="Z38" s="82"/>
      <c r="AA38" s="50">
        <f t="shared" si="19"/>
        <v>924</v>
      </c>
      <c r="AB38" s="51">
        <f t="shared" si="12"/>
        <v>0.89456869009584661</v>
      </c>
      <c r="AC38" s="3"/>
      <c r="AD38" s="3"/>
    </row>
    <row r="39" spans="1:30" ht="15.75" thickBot="1" x14ac:dyDescent="0.3">
      <c r="A39" s="1"/>
      <c r="B39" s="52" t="s">
        <v>73</v>
      </c>
      <c r="C39" s="84" t="s">
        <v>74</v>
      </c>
      <c r="D39" s="85">
        <f>SUM(D35:D38)+SUM(D28:D32)</f>
        <v>4450</v>
      </c>
      <c r="E39" s="85">
        <f>SUM(E35:E38)+SUM(E28:E32)</f>
        <v>37776.300000000003</v>
      </c>
      <c r="F39" s="85">
        <f>SUM(F35:F38)+SUM(F28:F32)</f>
        <v>924.3</v>
      </c>
      <c r="G39" s="86">
        <f>SUM(D39:F39)</f>
        <v>43150.600000000006</v>
      </c>
      <c r="H39" s="87">
        <f>SUM(H28:H32)+SUM(H35:H38)</f>
        <v>460.9</v>
      </c>
      <c r="I39" s="88">
        <f>SUM(I35:I38)+SUM(I28:I32)</f>
        <v>43928.3</v>
      </c>
      <c r="J39" s="85">
        <f>SUM(J35:J38)+SUM(J28:J32)</f>
        <v>4260</v>
      </c>
      <c r="K39" s="85">
        <f>SUM(K35:K38)+SUM(K28:K32)</f>
        <v>37345.300000000003</v>
      </c>
      <c r="L39" s="85">
        <f>SUM(L35:L38)+SUM(L28:L32)</f>
        <v>650</v>
      </c>
      <c r="M39" s="86">
        <f>SUM(J39:L39)</f>
        <v>42255.3</v>
      </c>
      <c r="N39" s="87">
        <f>SUM(N28:N32)+SUM(N35:N38)</f>
        <v>600</v>
      </c>
      <c r="O39" s="88">
        <f>SUM(O35:O38)+SUM(O28:O32)</f>
        <v>42855.3</v>
      </c>
      <c r="P39" s="85">
        <f>SUM(P35:P38)+SUM(P28:P32)</f>
        <v>2012.3</v>
      </c>
      <c r="Q39" s="85">
        <f>SUM(Q35:Q38)+SUM(Q28:Q32)</f>
        <v>18825</v>
      </c>
      <c r="R39" s="85">
        <f>SUM(R35:R38)+SUM(R28:R32)</f>
        <v>576.4</v>
      </c>
      <c r="S39" s="86">
        <f>SUM(P39:R39)</f>
        <v>21413.7</v>
      </c>
      <c r="T39" s="87">
        <f>SUM(T28:T32)+SUM(T35:T38)</f>
        <v>63.8</v>
      </c>
      <c r="U39" s="88">
        <f>SUM(U35:U38)+SUM(U28:U32)</f>
        <v>21477.5</v>
      </c>
      <c r="V39" s="85">
        <f>SUM(V35:V38)+SUM(V28:V32)</f>
        <v>4370</v>
      </c>
      <c r="W39" s="85">
        <f>SUM(W35:W38)+SUM(W28:W32)</f>
        <v>40686</v>
      </c>
      <c r="X39" s="85">
        <f>SUM(X35:X38)+SUM(X28:X32)</f>
        <v>650</v>
      </c>
      <c r="Y39" s="86">
        <f>SUM(V39:X39)</f>
        <v>45706</v>
      </c>
      <c r="Z39" s="87">
        <f>SUM(Z28:Z32)+SUM(Z35:Z38)</f>
        <v>563</v>
      </c>
      <c r="AA39" s="88">
        <f>SUM(AA35:AA38)+SUM(AA28:AA32)</f>
        <v>46269</v>
      </c>
      <c r="AB39" s="89">
        <f t="shared" si="12"/>
        <v>1.0796564252262846</v>
      </c>
      <c r="AC39" s="3"/>
      <c r="AD39" s="3"/>
    </row>
    <row r="40" spans="1:30" ht="19.5" thickBot="1" x14ac:dyDescent="0.35">
      <c r="A40" s="1"/>
      <c r="B40" s="90" t="s">
        <v>75</v>
      </c>
      <c r="C40" s="91" t="s">
        <v>76</v>
      </c>
      <c r="D40" s="92">
        <f t="shared" ref="D40:AA40" si="21">D24-D39</f>
        <v>0</v>
      </c>
      <c r="E40" s="92">
        <f t="shared" si="21"/>
        <v>0</v>
      </c>
      <c r="F40" s="92">
        <f t="shared" si="21"/>
        <v>0</v>
      </c>
      <c r="G40" s="93">
        <f t="shared" si="21"/>
        <v>0</v>
      </c>
      <c r="H40" s="93">
        <f t="shared" si="21"/>
        <v>222.80000000000007</v>
      </c>
      <c r="I40" s="94">
        <f t="shared" si="21"/>
        <v>222.79999999999563</v>
      </c>
      <c r="J40" s="92">
        <f t="shared" si="21"/>
        <v>0</v>
      </c>
      <c r="K40" s="92">
        <f t="shared" si="21"/>
        <v>0</v>
      </c>
      <c r="L40" s="92">
        <f t="shared" si="21"/>
        <v>0</v>
      </c>
      <c r="M40" s="93">
        <f t="shared" si="21"/>
        <v>0</v>
      </c>
      <c r="N40" s="93">
        <f t="shared" si="21"/>
        <v>0</v>
      </c>
      <c r="O40" s="94">
        <f t="shared" si="21"/>
        <v>0</v>
      </c>
      <c r="P40" s="92">
        <f t="shared" si="21"/>
        <v>427.00000000000023</v>
      </c>
      <c r="Q40" s="92">
        <f t="shared" si="21"/>
        <v>761.5</v>
      </c>
      <c r="R40" s="92">
        <f t="shared" si="21"/>
        <v>4</v>
      </c>
      <c r="S40" s="93">
        <f t="shared" si="21"/>
        <v>1192.5</v>
      </c>
      <c r="T40" s="93">
        <f t="shared" si="21"/>
        <v>335.7</v>
      </c>
      <c r="U40" s="94">
        <f t="shared" si="21"/>
        <v>1528.2000000000007</v>
      </c>
      <c r="V40" s="92">
        <f t="shared" si="21"/>
        <v>0</v>
      </c>
      <c r="W40" s="92">
        <f t="shared" si="21"/>
        <v>0</v>
      </c>
      <c r="X40" s="92">
        <f t="shared" si="21"/>
        <v>0</v>
      </c>
      <c r="Y40" s="93">
        <f t="shared" si="21"/>
        <v>0</v>
      </c>
      <c r="Z40" s="93">
        <f t="shared" si="21"/>
        <v>0</v>
      </c>
      <c r="AA40" s="94">
        <f t="shared" si="21"/>
        <v>0</v>
      </c>
      <c r="AB40" s="95" t="e">
        <f t="shared" si="12"/>
        <v>#DIV/0!</v>
      </c>
      <c r="AC40" s="3"/>
      <c r="AD40" s="3"/>
    </row>
    <row r="41" spans="1:30" ht="15.75" thickBot="1" x14ac:dyDescent="0.3">
      <c r="A41" s="1"/>
      <c r="B41" s="96" t="s">
        <v>77</v>
      </c>
      <c r="C41" s="97" t="s">
        <v>78</v>
      </c>
      <c r="D41" s="98"/>
      <c r="E41" s="99"/>
      <c r="F41" s="99"/>
      <c r="G41" s="100"/>
      <c r="H41" s="101"/>
      <c r="I41" s="102">
        <f>I40-D16</f>
        <v>-4037.2000000000044</v>
      </c>
      <c r="J41" s="98"/>
      <c r="K41" s="99"/>
      <c r="L41" s="99"/>
      <c r="M41" s="100"/>
      <c r="N41" s="103"/>
      <c r="O41" s="102">
        <f>O40-J16</f>
        <v>-4260</v>
      </c>
      <c r="P41" s="98"/>
      <c r="Q41" s="99"/>
      <c r="R41" s="99"/>
      <c r="S41" s="100"/>
      <c r="T41" s="103"/>
      <c r="U41" s="102">
        <f>U40-P16</f>
        <v>-741.79999999999927</v>
      </c>
      <c r="V41" s="98"/>
      <c r="W41" s="99"/>
      <c r="X41" s="99"/>
      <c r="Y41" s="100"/>
      <c r="Z41" s="103"/>
      <c r="AA41" s="102">
        <f>AA40-V16</f>
        <v>-4370</v>
      </c>
      <c r="AB41" s="21">
        <f t="shared" si="12"/>
        <v>1.0258215962441315</v>
      </c>
      <c r="AC41" s="3"/>
      <c r="AD41" s="3"/>
    </row>
    <row r="42" spans="1:30" s="110" customFormat="1" ht="8.25" customHeight="1" thickBot="1" x14ac:dyDescent="0.3">
      <c r="A42" s="104"/>
      <c r="B42" s="105"/>
      <c r="C42" s="106"/>
      <c r="D42" s="107"/>
      <c r="E42" s="108"/>
      <c r="F42" s="108"/>
      <c r="G42" s="104"/>
      <c r="H42" s="108"/>
      <c r="I42" s="108"/>
      <c r="J42" s="107"/>
      <c r="K42" s="108"/>
      <c r="L42" s="108"/>
      <c r="M42" s="104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s="110" customFormat="1" ht="15.75" customHeight="1" thickBot="1" x14ac:dyDescent="0.3">
      <c r="A43" s="104"/>
      <c r="B43" s="111"/>
      <c r="C43" s="319" t="s">
        <v>79</v>
      </c>
      <c r="D43" s="112" t="s">
        <v>80</v>
      </c>
      <c r="E43" s="113" t="s">
        <v>81</v>
      </c>
      <c r="F43" s="114" t="s">
        <v>82</v>
      </c>
      <c r="G43" s="108"/>
      <c r="H43" s="108"/>
      <c r="I43" s="115"/>
      <c r="J43" s="112" t="s">
        <v>80</v>
      </c>
      <c r="K43" s="113" t="s">
        <v>81</v>
      </c>
      <c r="L43" s="114" t="s">
        <v>82</v>
      </c>
      <c r="M43" s="108"/>
      <c r="N43" s="108"/>
      <c r="O43" s="108"/>
      <c r="P43" s="112" t="s">
        <v>80</v>
      </c>
      <c r="Q43" s="113" t="s">
        <v>81</v>
      </c>
      <c r="R43" s="114" t="s">
        <v>82</v>
      </c>
      <c r="S43" s="109"/>
      <c r="T43" s="109"/>
      <c r="U43" s="109"/>
      <c r="V43" s="112" t="s">
        <v>80</v>
      </c>
      <c r="W43" s="113" t="s">
        <v>81</v>
      </c>
      <c r="X43" s="114" t="s">
        <v>82</v>
      </c>
      <c r="Y43" s="109"/>
      <c r="Z43" s="109"/>
      <c r="AA43" s="109"/>
      <c r="AB43" s="109"/>
      <c r="AC43" s="109"/>
      <c r="AD43" s="109"/>
    </row>
    <row r="44" spans="1:30" ht="15.75" thickBot="1" x14ac:dyDescent="0.3">
      <c r="A44" s="1"/>
      <c r="B44" s="111"/>
      <c r="C44" s="320"/>
      <c r="D44" s="116">
        <v>622</v>
      </c>
      <c r="E44" s="117">
        <v>622</v>
      </c>
      <c r="F44" s="118">
        <v>0</v>
      </c>
      <c r="G44" s="108"/>
      <c r="H44" s="108"/>
      <c r="I44" s="115"/>
      <c r="J44" s="116">
        <v>622</v>
      </c>
      <c r="K44" s="117">
        <v>622</v>
      </c>
      <c r="L44" s="118">
        <v>0</v>
      </c>
      <c r="M44" s="119"/>
      <c r="N44" s="119"/>
      <c r="O44" s="119"/>
      <c r="P44" s="116">
        <v>310.89999999999998</v>
      </c>
      <c r="Q44" s="117">
        <v>310.89999999999998</v>
      </c>
      <c r="R44" s="118">
        <v>0</v>
      </c>
      <c r="S44" s="3"/>
      <c r="T44" s="3"/>
      <c r="U44" s="3"/>
      <c r="V44" s="116">
        <v>622</v>
      </c>
      <c r="W44" s="117">
        <v>622</v>
      </c>
      <c r="X44" s="118">
        <v>0</v>
      </c>
      <c r="Y44" s="3"/>
      <c r="Z44" s="3"/>
      <c r="AA44" s="3"/>
      <c r="AB44" s="3"/>
      <c r="AC44" s="3"/>
      <c r="AD44" s="3"/>
    </row>
    <row r="45" spans="1:30" s="110" customFormat="1" ht="8.25" customHeight="1" thickBot="1" x14ac:dyDescent="0.3">
      <c r="A45" s="104"/>
      <c r="B45" s="111"/>
      <c r="C45" s="106"/>
      <c r="D45" s="119"/>
      <c r="E45" s="108"/>
      <c r="F45" s="108"/>
      <c r="G45" s="108"/>
      <c r="H45" s="108"/>
      <c r="I45" s="115"/>
      <c r="J45" s="108"/>
      <c r="K45" s="108"/>
      <c r="L45" s="108"/>
      <c r="M45" s="108"/>
      <c r="N45" s="108"/>
      <c r="O45" s="115"/>
      <c r="P45" s="115"/>
      <c r="Q45" s="115"/>
      <c r="R45" s="115"/>
      <c r="S45" s="115"/>
      <c r="T45" s="115"/>
      <c r="U45" s="115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s="110" customFormat="1" ht="37.5" customHeight="1" thickBot="1" x14ac:dyDescent="0.3">
      <c r="A46" s="104"/>
      <c r="B46" s="111"/>
      <c r="C46" s="319" t="s">
        <v>83</v>
      </c>
      <c r="D46" s="120" t="s">
        <v>84</v>
      </c>
      <c r="E46" s="121" t="s">
        <v>85</v>
      </c>
      <c r="F46" s="108"/>
      <c r="G46" s="108"/>
      <c r="H46" s="108"/>
      <c r="I46" s="115"/>
      <c r="J46" s="120" t="s">
        <v>84</v>
      </c>
      <c r="K46" s="121" t="s">
        <v>85</v>
      </c>
      <c r="L46" s="122"/>
      <c r="M46" s="122"/>
      <c r="N46" s="109"/>
      <c r="O46" s="109"/>
      <c r="P46" s="120" t="s">
        <v>84</v>
      </c>
      <c r="Q46" s="121" t="s">
        <v>85</v>
      </c>
      <c r="R46" s="109"/>
      <c r="S46" s="109"/>
      <c r="T46" s="109"/>
      <c r="U46" s="109"/>
      <c r="V46" s="120" t="s">
        <v>84</v>
      </c>
      <c r="W46" s="121" t="s">
        <v>85</v>
      </c>
      <c r="X46" s="109"/>
      <c r="Y46" s="109"/>
      <c r="Z46" s="109"/>
      <c r="AA46" s="109"/>
      <c r="AB46" s="109"/>
      <c r="AC46" s="109"/>
      <c r="AD46" s="109"/>
    </row>
    <row r="47" spans="1:30" ht="15.75" thickBot="1" x14ac:dyDescent="0.3">
      <c r="A47" s="1"/>
      <c r="B47" s="123"/>
      <c r="C47" s="321"/>
      <c r="D47" s="116">
        <v>0</v>
      </c>
      <c r="E47" s="124">
        <v>0</v>
      </c>
      <c r="F47" s="108"/>
      <c r="G47" s="108"/>
      <c r="H47" s="108"/>
      <c r="I47" s="115"/>
      <c r="J47" s="116">
        <v>0</v>
      </c>
      <c r="K47" s="124">
        <v>0</v>
      </c>
      <c r="L47" s="125"/>
      <c r="M47" s="125"/>
      <c r="N47" s="3"/>
      <c r="O47" s="3"/>
      <c r="P47" s="116">
        <v>0</v>
      </c>
      <c r="Q47" s="124">
        <v>0</v>
      </c>
      <c r="R47" s="3"/>
      <c r="S47" s="3"/>
      <c r="T47" s="3"/>
      <c r="U47" s="3"/>
      <c r="V47" s="116">
        <v>0</v>
      </c>
      <c r="W47" s="12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23"/>
      <c r="C48" s="106"/>
      <c r="D48" s="108"/>
      <c r="E48" s="108"/>
      <c r="F48" s="108"/>
      <c r="G48" s="108"/>
      <c r="H48" s="108"/>
      <c r="I48" s="115"/>
      <c r="J48" s="108"/>
      <c r="K48" s="108"/>
      <c r="L48" s="108"/>
      <c r="M48" s="108"/>
      <c r="N48" s="108"/>
      <c r="O48" s="115"/>
      <c r="P48" s="115"/>
      <c r="Q48" s="115"/>
      <c r="R48" s="115"/>
      <c r="S48" s="115"/>
      <c r="T48" s="115"/>
      <c r="U48" s="115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23"/>
      <c r="C49" s="126" t="s">
        <v>86</v>
      </c>
      <c r="D49" s="127" t="s">
        <v>87</v>
      </c>
      <c r="E49" s="127" t="s">
        <v>88</v>
      </c>
      <c r="F49" s="127" t="s">
        <v>89</v>
      </c>
      <c r="G49" s="127" t="s">
        <v>90</v>
      </c>
      <c r="H49" s="108"/>
      <c r="I49" s="3"/>
      <c r="J49" s="127" t="s">
        <v>87</v>
      </c>
      <c r="K49" s="127" t="s">
        <v>88</v>
      </c>
      <c r="L49" s="127" t="s">
        <v>89</v>
      </c>
      <c r="M49" s="127" t="s">
        <v>91</v>
      </c>
      <c r="N49" s="3"/>
      <c r="O49" s="3"/>
      <c r="P49" s="127" t="s">
        <v>87</v>
      </c>
      <c r="Q49" s="127" t="s">
        <v>88</v>
      </c>
      <c r="R49" s="127" t="s">
        <v>89</v>
      </c>
      <c r="S49" s="127" t="s">
        <v>174</v>
      </c>
      <c r="T49" s="3"/>
      <c r="U49" s="3"/>
      <c r="V49" s="127" t="s">
        <v>92</v>
      </c>
      <c r="W49" s="127" t="s">
        <v>88</v>
      </c>
      <c r="X49" s="127" t="s">
        <v>89</v>
      </c>
      <c r="Y49" s="127" t="s">
        <v>91</v>
      </c>
      <c r="Z49" s="3"/>
      <c r="AA49" s="3"/>
      <c r="AB49" s="3"/>
      <c r="AC49" s="3"/>
      <c r="AD49" s="3"/>
    </row>
    <row r="50" spans="1:30" x14ac:dyDescent="0.25">
      <c r="A50" s="1"/>
      <c r="B50" s="123"/>
      <c r="C50" s="128" t="s">
        <v>93</v>
      </c>
      <c r="D50" s="129">
        <v>1907</v>
      </c>
      <c r="E50" s="129">
        <v>1970.3</v>
      </c>
      <c r="F50" s="129">
        <v>1903.1</v>
      </c>
      <c r="G50" s="130">
        <f>D50+E50-F50</f>
        <v>1974.2000000000003</v>
      </c>
      <c r="H50" s="108"/>
      <c r="I50" s="3"/>
      <c r="J50" s="129">
        <v>283.3</v>
      </c>
      <c r="K50" s="129">
        <v>1235</v>
      </c>
      <c r="L50" s="129">
        <v>1455.3</v>
      </c>
      <c r="M50" s="130">
        <f>J50+K50-L50</f>
        <v>63</v>
      </c>
      <c r="N50" s="3"/>
      <c r="O50" s="3"/>
      <c r="P50" s="129">
        <v>1974.2</v>
      </c>
      <c r="Q50" s="129">
        <v>978.1</v>
      </c>
      <c r="R50" s="129">
        <v>969.8</v>
      </c>
      <c r="S50" s="130">
        <f>P50+Q50-R50</f>
        <v>1982.5000000000002</v>
      </c>
      <c r="T50" s="3"/>
      <c r="U50" s="3" t="s">
        <v>175</v>
      </c>
      <c r="V50" s="129">
        <v>735.7</v>
      </c>
      <c r="W50" s="129">
        <v>1214</v>
      </c>
      <c r="X50" s="129">
        <v>1516</v>
      </c>
      <c r="Y50" s="130">
        <f>V50+W50-X50</f>
        <v>433.70000000000005</v>
      </c>
      <c r="Z50" s="3"/>
      <c r="AA50" s="3"/>
      <c r="AB50" s="3"/>
      <c r="AC50" s="3"/>
      <c r="AD50" s="3"/>
    </row>
    <row r="51" spans="1:30" x14ac:dyDescent="0.25">
      <c r="A51" s="1"/>
      <c r="B51" s="123"/>
      <c r="C51" s="128" t="s">
        <v>94</v>
      </c>
      <c r="D51" s="129">
        <v>1039.3</v>
      </c>
      <c r="E51" s="129">
        <v>527.6</v>
      </c>
      <c r="F51" s="129">
        <v>533.70000000000005</v>
      </c>
      <c r="G51" s="130">
        <f t="shared" ref="G51:G54" si="22">D51+E51-F51</f>
        <v>1033.2</v>
      </c>
      <c r="H51" s="108"/>
      <c r="I51" s="3"/>
      <c r="J51" s="129">
        <v>87</v>
      </c>
      <c r="K51" s="129">
        <v>0</v>
      </c>
      <c r="L51" s="129">
        <v>87</v>
      </c>
      <c r="M51" s="130">
        <f t="shared" ref="M51:M54" si="23">J51+K51-L51</f>
        <v>0</v>
      </c>
      <c r="N51" s="3"/>
      <c r="O51" s="3"/>
      <c r="P51" s="129">
        <v>1033.2</v>
      </c>
      <c r="Q51" s="129">
        <v>184.9</v>
      </c>
      <c r="R51" s="129">
        <v>290.89999999999998</v>
      </c>
      <c r="S51" s="130">
        <f t="shared" ref="S51:S54" si="24">P51+Q51-R51</f>
        <v>927.20000000000016</v>
      </c>
      <c r="T51" s="3"/>
      <c r="U51" s="3" t="s">
        <v>176</v>
      </c>
      <c r="V51" s="129">
        <v>300</v>
      </c>
      <c r="W51" s="129">
        <v>0</v>
      </c>
      <c r="X51" s="129">
        <v>250</v>
      </c>
      <c r="Y51" s="130">
        <f t="shared" ref="Y51:Y54" si="25">V51+W51-X51</f>
        <v>50</v>
      </c>
      <c r="Z51" s="3"/>
      <c r="AA51" s="3"/>
      <c r="AB51" s="3"/>
      <c r="AC51" s="3"/>
      <c r="AD51" s="3"/>
    </row>
    <row r="52" spans="1:30" x14ac:dyDescent="0.25">
      <c r="A52" s="1"/>
      <c r="B52" s="123"/>
      <c r="C52" s="128" t="s">
        <v>95</v>
      </c>
      <c r="D52" s="129">
        <v>272.89999999999998</v>
      </c>
      <c r="E52" s="129">
        <v>684.5</v>
      </c>
      <c r="F52" s="129">
        <v>621.70000000000005</v>
      </c>
      <c r="G52" s="130">
        <f t="shared" si="22"/>
        <v>335.69999999999993</v>
      </c>
      <c r="H52" s="108"/>
      <c r="I52" s="3"/>
      <c r="J52" s="129">
        <v>196.3</v>
      </c>
      <c r="K52" s="129">
        <v>685</v>
      </c>
      <c r="L52" s="129">
        <v>818.3</v>
      </c>
      <c r="M52" s="130">
        <f t="shared" si="23"/>
        <v>63</v>
      </c>
      <c r="N52" s="3"/>
      <c r="O52" s="3"/>
      <c r="P52" s="129">
        <v>335.7</v>
      </c>
      <c r="Q52" s="129">
        <v>342.3</v>
      </c>
      <c r="R52" s="129">
        <v>310.89999999999998</v>
      </c>
      <c r="S52" s="130">
        <f t="shared" si="24"/>
        <v>367.1</v>
      </c>
      <c r="T52" s="3"/>
      <c r="U52" s="3" t="s">
        <v>177</v>
      </c>
      <c r="V52" s="129">
        <v>335.7</v>
      </c>
      <c r="W52" s="129">
        <v>670</v>
      </c>
      <c r="X52" s="129">
        <v>622</v>
      </c>
      <c r="Y52" s="130">
        <f t="shared" si="25"/>
        <v>383.70000000000005</v>
      </c>
      <c r="Z52" s="3"/>
      <c r="AA52" s="3"/>
      <c r="AB52" s="3"/>
      <c r="AC52" s="3"/>
      <c r="AD52" s="3"/>
    </row>
    <row r="53" spans="1:30" x14ac:dyDescent="0.25">
      <c r="A53" s="1"/>
      <c r="B53" s="123"/>
      <c r="C53" s="128" t="s">
        <v>96</v>
      </c>
      <c r="D53" s="129">
        <v>174.5</v>
      </c>
      <c r="E53" s="129">
        <v>210.9</v>
      </c>
      <c r="F53" s="129">
        <v>189.8</v>
      </c>
      <c r="G53" s="130">
        <f t="shared" si="22"/>
        <v>195.59999999999997</v>
      </c>
      <c r="H53" s="108"/>
      <c r="I53" s="3"/>
      <c r="J53" s="129">
        <v>0</v>
      </c>
      <c r="K53" s="129">
        <v>0</v>
      </c>
      <c r="L53" s="129">
        <v>0</v>
      </c>
      <c r="M53" s="130">
        <f t="shared" si="23"/>
        <v>0</v>
      </c>
      <c r="N53" s="3"/>
      <c r="O53" s="3"/>
      <c r="P53" s="129">
        <v>195.5</v>
      </c>
      <c r="Q53" s="129">
        <v>178.2</v>
      </c>
      <c r="R53" s="129">
        <v>0</v>
      </c>
      <c r="S53" s="130">
        <f t="shared" si="24"/>
        <v>373.7</v>
      </c>
      <c r="T53" s="3"/>
      <c r="U53" s="3" t="s">
        <v>178</v>
      </c>
      <c r="V53" s="129">
        <v>100</v>
      </c>
      <c r="W53" s="129">
        <v>0</v>
      </c>
      <c r="X53" s="129">
        <v>100</v>
      </c>
      <c r="Y53" s="130">
        <f t="shared" si="25"/>
        <v>0</v>
      </c>
      <c r="Z53" s="3"/>
      <c r="AA53" s="3"/>
      <c r="AB53" s="3"/>
      <c r="AC53" s="3"/>
      <c r="AD53" s="3"/>
    </row>
    <row r="54" spans="1:30" x14ac:dyDescent="0.25">
      <c r="A54" s="1"/>
      <c r="B54" s="123"/>
      <c r="C54" s="131" t="s">
        <v>97</v>
      </c>
      <c r="D54" s="129">
        <v>420.3</v>
      </c>
      <c r="E54" s="129">
        <v>547.29999999999995</v>
      </c>
      <c r="F54" s="129">
        <v>557.9</v>
      </c>
      <c r="G54" s="130">
        <f t="shared" si="22"/>
        <v>409.69999999999993</v>
      </c>
      <c r="H54" s="108"/>
      <c r="I54" s="3"/>
      <c r="J54" s="129">
        <v>0</v>
      </c>
      <c r="K54" s="129">
        <v>550</v>
      </c>
      <c r="L54" s="129">
        <v>550</v>
      </c>
      <c r="M54" s="130">
        <f t="shared" si="23"/>
        <v>0</v>
      </c>
      <c r="N54" s="3"/>
      <c r="O54" s="3"/>
      <c r="P54" s="129">
        <v>409.7</v>
      </c>
      <c r="Q54" s="129">
        <v>272.7</v>
      </c>
      <c r="R54" s="129">
        <v>368</v>
      </c>
      <c r="S54" s="130">
        <f t="shared" si="24"/>
        <v>314.39999999999998</v>
      </c>
      <c r="T54" s="3"/>
      <c r="U54" s="3" t="s">
        <v>97</v>
      </c>
      <c r="V54" s="129">
        <v>0</v>
      </c>
      <c r="W54" s="129">
        <v>544</v>
      </c>
      <c r="X54" s="129">
        <v>544</v>
      </c>
      <c r="Y54" s="130">
        <f t="shared" si="25"/>
        <v>0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23"/>
      <c r="C55" s="106"/>
      <c r="D55" s="108"/>
      <c r="E55" s="108"/>
      <c r="F55" s="108"/>
      <c r="G55" s="108"/>
      <c r="H55" s="10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23"/>
      <c r="C56" s="126" t="s">
        <v>98</v>
      </c>
      <c r="D56" s="127" t="s">
        <v>99</v>
      </c>
      <c r="E56" s="127" t="s">
        <v>100</v>
      </c>
      <c r="F56" s="108"/>
      <c r="G56" s="108"/>
      <c r="H56" s="108"/>
      <c r="I56" s="115"/>
      <c r="J56" s="127" t="s">
        <v>101</v>
      </c>
      <c r="K56" s="108"/>
      <c r="L56" s="108"/>
      <c r="M56" s="108"/>
      <c r="N56" s="108"/>
      <c r="O56" s="115"/>
      <c r="P56" s="127" t="s">
        <v>102</v>
      </c>
      <c r="Q56" s="115"/>
      <c r="R56" s="115"/>
      <c r="S56" s="115"/>
      <c r="T56" s="115"/>
      <c r="U56" s="115"/>
      <c r="V56" s="12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23"/>
      <c r="C57" s="128"/>
      <c r="D57" s="132">
        <v>69</v>
      </c>
      <c r="E57" s="132">
        <v>69</v>
      </c>
      <c r="F57" s="108"/>
      <c r="G57" s="108"/>
      <c r="H57" s="108"/>
      <c r="I57" s="115"/>
      <c r="J57" s="132">
        <v>69</v>
      </c>
      <c r="K57" s="108"/>
      <c r="L57" s="108"/>
      <c r="M57" s="108"/>
      <c r="N57" s="108"/>
      <c r="O57" s="115"/>
      <c r="P57" s="132">
        <v>63.1</v>
      </c>
      <c r="Q57" s="115"/>
      <c r="R57" s="115"/>
      <c r="S57" s="115"/>
      <c r="T57" s="115"/>
      <c r="U57" s="115"/>
      <c r="V57" s="132">
        <v>66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23"/>
      <c r="C58" s="106"/>
      <c r="D58" s="108"/>
      <c r="E58" s="108"/>
      <c r="F58" s="108"/>
      <c r="G58" s="108"/>
      <c r="H58" s="108"/>
      <c r="I58" s="115"/>
      <c r="J58" s="108"/>
      <c r="K58" s="108"/>
      <c r="L58" s="108"/>
      <c r="M58" s="108"/>
      <c r="N58" s="108"/>
      <c r="O58" s="115"/>
      <c r="P58" s="115"/>
      <c r="Q58" s="115"/>
      <c r="R58" s="115"/>
      <c r="S58" s="115"/>
      <c r="T58" s="115"/>
      <c r="U58" s="115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33" t="s">
        <v>103</v>
      </c>
      <c r="C59" s="134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135"/>
      <c r="W59" s="135"/>
      <c r="X59" s="135"/>
      <c r="Y59" s="135"/>
      <c r="Z59" s="135"/>
      <c r="AA59" s="135"/>
      <c r="AB59" s="136"/>
      <c r="AC59" s="3"/>
      <c r="AD59" s="3"/>
    </row>
    <row r="60" spans="1:30" x14ac:dyDescent="0.25">
      <c r="A60" s="1"/>
      <c r="B60" s="13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8"/>
      <c r="AC60" s="3"/>
      <c r="AD60" s="3"/>
    </row>
    <row r="61" spans="1:30" x14ac:dyDescent="0.25">
      <c r="A61" s="1"/>
      <c r="B61" s="312" t="s">
        <v>179</v>
      </c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110"/>
      <c r="W61" s="110"/>
      <c r="X61" s="110"/>
      <c r="Y61" s="110"/>
      <c r="Z61" s="110"/>
      <c r="AA61" s="110"/>
      <c r="AB61" s="138"/>
      <c r="AC61" s="3"/>
      <c r="AD61" s="3"/>
    </row>
    <row r="62" spans="1:30" x14ac:dyDescent="0.25">
      <c r="A62" s="1"/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110"/>
      <c r="W62" s="110"/>
      <c r="X62" s="110"/>
      <c r="Y62" s="110"/>
      <c r="Z62" s="110"/>
      <c r="AA62" s="110"/>
      <c r="AB62" s="138"/>
      <c r="AC62" s="3"/>
      <c r="AD62" s="3"/>
    </row>
    <row r="63" spans="1:30" x14ac:dyDescent="0.25">
      <c r="A63" s="1"/>
      <c r="B63" s="312" t="s">
        <v>180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110"/>
      <c r="W63" s="110"/>
      <c r="X63" s="110"/>
      <c r="Y63" s="110"/>
      <c r="Z63" s="110"/>
      <c r="AA63" s="110"/>
      <c r="AB63" s="138"/>
      <c r="AC63" s="3"/>
      <c r="AD63" s="3"/>
    </row>
    <row r="64" spans="1:30" x14ac:dyDescent="0.25">
      <c r="A64" s="1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10"/>
      <c r="W64" s="110"/>
      <c r="X64" s="110"/>
      <c r="Y64" s="110"/>
      <c r="Z64" s="110"/>
      <c r="AA64" s="110"/>
      <c r="AB64" s="138"/>
      <c r="AC64" s="3"/>
      <c r="AD64" s="3"/>
    </row>
    <row r="65" spans="1:30" x14ac:dyDescent="0.25">
      <c r="A65" s="1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0"/>
      <c r="W65" s="110"/>
      <c r="X65" s="110"/>
      <c r="Y65" s="110"/>
      <c r="Z65" s="110"/>
      <c r="AA65" s="110"/>
      <c r="AB65" s="138"/>
      <c r="AC65" s="3"/>
      <c r="AD65" s="3"/>
    </row>
    <row r="66" spans="1:30" x14ac:dyDescent="0.25">
      <c r="A66" s="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10"/>
      <c r="W66" s="110"/>
      <c r="X66" s="110"/>
      <c r="Y66" s="110"/>
      <c r="Z66" s="110"/>
      <c r="AA66" s="110"/>
      <c r="AB66" s="138"/>
      <c r="AC66" s="3"/>
      <c r="AD66" s="3"/>
    </row>
    <row r="67" spans="1:30" x14ac:dyDescent="0.25">
      <c r="A67" s="1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10"/>
      <c r="W67" s="110"/>
      <c r="X67" s="110"/>
      <c r="Y67" s="110"/>
      <c r="Z67" s="110"/>
      <c r="AA67" s="110"/>
      <c r="AB67" s="138"/>
      <c r="AC67" s="3"/>
      <c r="AD67" s="3"/>
    </row>
    <row r="68" spans="1:30" x14ac:dyDescent="0.25">
      <c r="A68" s="1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10"/>
      <c r="W68" s="110"/>
      <c r="X68" s="110"/>
      <c r="Y68" s="110"/>
      <c r="Z68" s="110"/>
      <c r="AA68" s="110"/>
      <c r="AB68" s="138"/>
      <c r="AC68" s="3"/>
      <c r="AD68" s="3"/>
    </row>
    <row r="69" spans="1:30" x14ac:dyDescent="0.25">
      <c r="A69" s="1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10"/>
      <c r="W69" s="110"/>
      <c r="X69" s="110"/>
      <c r="Y69" s="110"/>
      <c r="Z69" s="110"/>
      <c r="AA69" s="110"/>
      <c r="AB69" s="138"/>
      <c r="AC69" s="3"/>
      <c r="AD69" s="3"/>
    </row>
    <row r="70" spans="1:30" x14ac:dyDescent="0.25">
      <c r="A70" s="1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10"/>
      <c r="W70" s="110"/>
      <c r="X70" s="110"/>
      <c r="Y70" s="110"/>
      <c r="Z70" s="110"/>
      <c r="AA70" s="110"/>
      <c r="AB70" s="138"/>
      <c r="AC70" s="3"/>
      <c r="AD70" s="3"/>
    </row>
    <row r="71" spans="1:30" x14ac:dyDescent="0.25">
      <c r="A71" s="1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10"/>
      <c r="W71" s="110"/>
      <c r="X71" s="110"/>
      <c r="Y71" s="110"/>
      <c r="Z71" s="110"/>
      <c r="AA71" s="110"/>
      <c r="AB71" s="138"/>
      <c r="AC71" s="3"/>
      <c r="AD71" s="3"/>
    </row>
    <row r="72" spans="1:30" x14ac:dyDescent="0.25">
      <c r="A72" s="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10"/>
      <c r="W72" s="110"/>
      <c r="X72" s="110"/>
      <c r="Y72" s="110"/>
      <c r="Z72" s="110"/>
      <c r="AA72" s="110"/>
      <c r="AB72" s="138"/>
      <c r="AC72" s="3"/>
      <c r="AD72" s="3"/>
    </row>
    <row r="73" spans="1:30" x14ac:dyDescent="0.25">
      <c r="A73" s="1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10"/>
      <c r="W73" s="110"/>
      <c r="X73" s="110"/>
      <c r="Y73" s="110"/>
      <c r="Z73" s="110"/>
      <c r="AA73" s="110"/>
      <c r="AB73" s="138"/>
      <c r="AC73" s="3"/>
      <c r="AD73" s="3"/>
    </row>
    <row r="74" spans="1:30" x14ac:dyDescent="0.25">
      <c r="A74" s="1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10"/>
      <c r="W74" s="110"/>
      <c r="X74" s="110"/>
      <c r="Y74" s="110"/>
      <c r="Z74" s="110"/>
      <c r="AA74" s="110"/>
      <c r="AB74" s="138"/>
      <c r="AC74" s="3"/>
      <c r="AD74" s="3"/>
    </row>
    <row r="75" spans="1:30" x14ac:dyDescent="0.25">
      <c r="A75" s="1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10"/>
      <c r="W75" s="110"/>
      <c r="X75" s="110"/>
      <c r="Y75" s="110"/>
      <c r="Z75" s="110"/>
      <c r="AA75" s="110"/>
      <c r="AB75" s="138"/>
      <c r="AC75" s="3"/>
      <c r="AD75" s="3"/>
    </row>
    <row r="76" spans="1:30" x14ac:dyDescent="0.25">
      <c r="A76" s="1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10"/>
      <c r="W76" s="110"/>
      <c r="X76" s="110"/>
      <c r="Y76" s="110"/>
      <c r="Z76" s="110"/>
      <c r="AA76" s="110"/>
      <c r="AB76" s="138"/>
      <c r="AC76" s="3"/>
      <c r="AD76" s="3"/>
    </row>
    <row r="77" spans="1:30" x14ac:dyDescent="0.25">
      <c r="A77" s="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10"/>
      <c r="W77" s="110"/>
      <c r="X77" s="110"/>
      <c r="Y77" s="110"/>
      <c r="Z77" s="110"/>
      <c r="AA77" s="110"/>
      <c r="AB77" s="138"/>
      <c r="AC77" s="3"/>
      <c r="AD77" s="3"/>
    </row>
    <row r="78" spans="1:30" x14ac:dyDescent="0.25">
      <c r="A78" s="1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10"/>
      <c r="W78" s="110"/>
      <c r="X78" s="110"/>
      <c r="Y78" s="110"/>
      <c r="Z78" s="110"/>
      <c r="AA78" s="110"/>
      <c r="AB78" s="138"/>
      <c r="AC78" s="3"/>
      <c r="AD78" s="3"/>
    </row>
    <row r="79" spans="1:30" x14ac:dyDescent="0.25">
      <c r="A79" s="1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10"/>
      <c r="W79" s="110"/>
      <c r="X79" s="110"/>
      <c r="Y79" s="110"/>
      <c r="Z79" s="110"/>
      <c r="AA79" s="110"/>
      <c r="AB79" s="138"/>
      <c r="AC79" s="3"/>
      <c r="AD79" s="3"/>
    </row>
    <row r="80" spans="1:30" x14ac:dyDescent="0.25">
      <c r="A80" s="1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10"/>
      <c r="W80" s="110"/>
      <c r="X80" s="110"/>
      <c r="Y80" s="110"/>
      <c r="Z80" s="110"/>
      <c r="AA80" s="110"/>
      <c r="AB80" s="138"/>
      <c r="AC80" s="3"/>
      <c r="AD80" s="3"/>
    </row>
    <row r="81" spans="1:30" x14ac:dyDescent="0.25">
      <c r="A81" s="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10"/>
      <c r="W81" s="110"/>
      <c r="X81" s="110"/>
      <c r="Y81" s="110"/>
      <c r="Z81" s="110"/>
      <c r="AA81" s="110"/>
      <c r="AB81" s="138"/>
      <c r="AC81" s="3"/>
      <c r="AD81" s="3"/>
    </row>
    <row r="82" spans="1:30" x14ac:dyDescent="0.25">
      <c r="A82" s="1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110"/>
      <c r="W82" s="110"/>
      <c r="X82" s="110"/>
      <c r="Y82" s="110"/>
      <c r="Z82" s="110"/>
      <c r="AA82" s="110"/>
      <c r="AB82" s="138"/>
      <c r="AC82" s="3"/>
      <c r="AD82" s="3"/>
    </row>
    <row r="83" spans="1:30" x14ac:dyDescent="0.25">
      <c r="A83" s="1"/>
      <c r="B83" s="141"/>
      <c r="C83" s="142"/>
      <c r="D83" s="142"/>
      <c r="E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10"/>
      <c r="W83" s="110"/>
      <c r="X83" s="110"/>
      <c r="Y83" s="110"/>
      <c r="Z83" s="110"/>
      <c r="AA83" s="110"/>
      <c r="AB83" s="138"/>
      <c r="AC83" s="3"/>
      <c r="AD83" s="3"/>
    </row>
    <row r="84" spans="1:30" x14ac:dyDescent="0.25">
      <c r="A84" s="1"/>
      <c r="B84" s="143"/>
      <c r="C84" s="144"/>
      <c r="D84" s="145"/>
      <c r="E84" s="145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10"/>
      <c r="W84" s="110"/>
      <c r="X84" s="110"/>
      <c r="Y84" s="110"/>
      <c r="Z84" s="110"/>
      <c r="AA84" s="110"/>
      <c r="AB84" s="138"/>
      <c r="AC84" s="3"/>
      <c r="AD84" s="3"/>
    </row>
    <row r="85" spans="1:30" x14ac:dyDescent="0.25">
      <c r="A85" s="1"/>
      <c r="B85" s="141"/>
      <c r="C85" s="146"/>
      <c r="D85" s="145"/>
      <c r="E85" s="145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10"/>
      <c r="W85" s="110"/>
      <c r="X85" s="110"/>
      <c r="Y85" s="110"/>
      <c r="Z85" s="110"/>
      <c r="AA85" s="110"/>
      <c r="AB85" s="138"/>
      <c r="AC85" s="3"/>
      <c r="AD85" s="3"/>
    </row>
    <row r="86" spans="1:30" x14ac:dyDescent="0.25">
      <c r="A86" s="1"/>
      <c r="B86" s="141"/>
      <c r="C86" s="146"/>
      <c r="D86" s="145"/>
      <c r="E86" s="145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10"/>
      <c r="W86" s="110"/>
      <c r="X86" s="110"/>
      <c r="Y86" s="110"/>
      <c r="Z86" s="110"/>
      <c r="AA86" s="110"/>
      <c r="AB86" s="138"/>
      <c r="AC86" s="3"/>
      <c r="AD86" s="3"/>
    </row>
    <row r="87" spans="1:30" x14ac:dyDescent="0.25">
      <c r="A87" s="1"/>
      <c r="B87" s="147"/>
      <c r="C87" s="148"/>
      <c r="D87" s="149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1"/>
      <c r="W87" s="151"/>
      <c r="X87" s="151"/>
      <c r="Y87" s="151"/>
      <c r="Z87" s="151"/>
      <c r="AA87" s="151"/>
      <c r="AB87" s="152"/>
      <c r="AC87" s="3"/>
      <c r="AD87" s="3"/>
    </row>
    <row r="88" spans="1:30" x14ac:dyDescent="0.25">
      <c r="A88" s="104"/>
      <c r="B88" s="153"/>
      <c r="C88" s="154"/>
      <c r="D88" s="153"/>
      <c r="E88" s="153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04"/>
      <c r="B89" s="153"/>
      <c r="C89" s="154"/>
      <c r="D89" s="153"/>
      <c r="E89" s="153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156" t="s">
        <v>104</v>
      </c>
      <c r="C91" s="157">
        <v>43708</v>
      </c>
      <c r="D91" s="156" t="s">
        <v>105</v>
      </c>
      <c r="E91" s="313" t="s">
        <v>181</v>
      </c>
      <c r="F91" s="313"/>
      <c r="G91" s="313"/>
      <c r="H91" s="156"/>
      <c r="I91" s="156" t="s">
        <v>107</v>
      </c>
      <c r="J91" s="314" t="s">
        <v>182</v>
      </c>
      <c r="K91" s="314"/>
      <c r="L91" s="314"/>
      <c r="M91" s="314"/>
      <c r="N91" s="156"/>
      <c r="O91" s="156"/>
      <c r="P91" s="156"/>
      <c r="Q91" s="156"/>
      <c r="R91" s="156"/>
      <c r="S91" s="156"/>
      <c r="T91" s="156"/>
      <c r="U91" s="156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56"/>
      <c r="C93" s="156"/>
      <c r="D93" s="156" t="s">
        <v>109</v>
      </c>
      <c r="E93" s="158"/>
      <c r="F93" s="158"/>
      <c r="G93" s="158"/>
      <c r="H93" s="156"/>
      <c r="I93" s="156" t="s">
        <v>109</v>
      </c>
      <c r="J93" s="159"/>
      <c r="K93" s="159"/>
      <c r="L93" s="159"/>
      <c r="M93" s="159"/>
      <c r="N93" s="156"/>
      <c r="O93" s="156"/>
      <c r="P93" s="156"/>
      <c r="Q93" s="156"/>
      <c r="R93" s="156"/>
      <c r="S93" s="156"/>
      <c r="T93" s="156"/>
      <c r="U93" s="156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56"/>
      <c r="C94" s="156"/>
      <c r="D94" s="156"/>
      <c r="E94" s="158"/>
      <c r="F94" s="158"/>
      <c r="G94" s="158"/>
      <c r="H94" s="156"/>
      <c r="I94" s="156"/>
      <c r="J94" s="159"/>
      <c r="K94" s="159"/>
      <c r="L94" s="159"/>
      <c r="M94" s="159"/>
      <c r="N94" s="156"/>
      <c r="O94" s="156"/>
      <c r="P94" s="156"/>
      <c r="Q94" s="156"/>
      <c r="R94" s="156"/>
      <c r="S94" s="156"/>
      <c r="T94" s="156"/>
      <c r="U94" s="156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AB25:AB27"/>
    <mergeCell ref="J26:L26"/>
    <mergeCell ref="M26:M27"/>
    <mergeCell ref="N26:N27"/>
    <mergeCell ref="O26:O27"/>
    <mergeCell ref="AA13:AA14"/>
    <mergeCell ref="D25:I25"/>
    <mergeCell ref="J25:O25"/>
    <mergeCell ref="P25:U25"/>
    <mergeCell ref="V25:AA25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B61:U61"/>
    <mergeCell ref="P26:R26"/>
    <mergeCell ref="S26:S27"/>
    <mergeCell ref="T26:T27"/>
    <mergeCell ref="U26:U27"/>
    <mergeCell ref="B26:B27"/>
    <mergeCell ref="C26:C27"/>
    <mergeCell ref="D26:F26"/>
    <mergeCell ref="G26:G27"/>
    <mergeCell ref="H26:H27"/>
    <mergeCell ref="I26:I27"/>
    <mergeCell ref="Z26:Z27"/>
    <mergeCell ref="AA26:AA27"/>
    <mergeCell ref="C43:C44"/>
    <mergeCell ref="C46:C47"/>
    <mergeCell ref="D59:U59"/>
    <mergeCell ref="V26:X26"/>
    <mergeCell ref="Y26:Y27"/>
    <mergeCell ref="B62:U62"/>
    <mergeCell ref="B63:U63"/>
    <mergeCell ref="B82:U82"/>
    <mergeCell ref="E91:G91"/>
    <mergeCell ref="J91:M91"/>
  </mergeCells>
  <conditionalFormatting sqref="AB15:AB25">
    <cfRule type="cellIs" dxfId="25" priority="3" operator="equal">
      <formula>0</formula>
    </cfRule>
    <cfRule type="containsErrors" dxfId="24" priority="4">
      <formula>ISERROR(AB15)</formula>
    </cfRule>
  </conditionalFormatting>
  <conditionalFormatting sqref="AB28:AB41">
    <cfRule type="cellIs" dxfId="23" priority="1" operator="equal">
      <formula>0</formula>
    </cfRule>
    <cfRule type="containsErrors" dxfId="22" priority="2">
      <formula>ISERROR(AB28)</formula>
    </cfRule>
  </conditionalFormatting>
  <pageMargins left="0.25" right="0.25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ZŠ Zahradní</vt:lpstr>
      <vt:lpstr>ZŠ Na Příkopech</vt:lpstr>
      <vt:lpstr>ZŠ Kadaňská</vt:lpstr>
      <vt:lpstr>ZŠ Písečná</vt:lpstr>
      <vt:lpstr>ZŠ Hornická</vt:lpstr>
      <vt:lpstr>ZŠ Školní</vt:lpstr>
      <vt:lpstr>ZŠ AK. Heyrovsk.</vt:lpstr>
      <vt:lpstr>ZŠ Březenecká</vt:lpstr>
      <vt:lpstr>ZŠaMŠ 17. list.</vt:lpstr>
      <vt:lpstr>ZUŠ TGM</vt:lpstr>
      <vt:lpstr>ZŠSaMŠ Palachova</vt:lpstr>
      <vt:lpstr>MŠ CV</vt:lpstr>
      <vt:lpstr>SVČ Domeček</vt:lpstr>
      <vt:lpstr>'MŠ CV'!Oblast_tisku</vt:lpstr>
      <vt:lpstr>'SVČ Domeček'!Oblast_tisku</vt:lpstr>
      <vt:lpstr>'ZŠ AK. Heyrovsk.'!Oblast_tisku</vt:lpstr>
      <vt:lpstr>'ZŠ Březenecká'!Oblast_tisku</vt:lpstr>
      <vt:lpstr>'ZŠ Hornická'!Oblast_tisku</vt:lpstr>
      <vt:lpstr>'ZŠ Kadaňská'!Oblast_tisku</vt:lpstr>
      <vt:lpstr>'ZŠ Na Příkopech'!Oblast_tisku</vt:lpstr>
      <vt:lpstr>'ZŠ Písečná'!Oblast_tisku</vt:lpstr>
      <vt:lpstr>'ZŠ Školní'!Oblast_tisku</vt:lpstr>
      <vt:lpstr>'ZŠ Zahradní'!Oblast_tisku</vt:lpstr>
      <vt:lpstr>'ZŠaMŠ 17. list.'!Oblast_tisku</vt:lpstr>
      <vt:lpstr>'ZŠSaMŠ Palachova'!Oblast_tisku</vt:lpstr>
      <vt:lpstr>'ZUŠ TGM'!Oblast_tisku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2019-10-11T09:44:20Z</dcterms:created>
  <dcterms:modified xsi:type="dcterms:W3CDTF">2019-10-16T12:24:55Z</dcterms:modified>
</cp:coreProperties>
</file>