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432"/>
  </bookViews>
  <sheets>
    <sheet name="Výběrové porovnání dat" sheetId="1" r:id="rId1"/>
    <sheet name="List2" sheetId="3" r:id="rId2"/>
    <sheet name="List1" sheetId="2" r:id="rId3"/>
  </sheets>
  <definedNames>
    <definedName name="_FilterDatabase" localSheetId="0" hidden="1">'Výběrové porovnání dat'!$C$38:$M$38</definedName>
    <definedName name="Print_Area" localSheetId="0">'Výběrové porovnání dat'!$A$1:$W$73</definedName>
    <definedName name="Print_Titles" localSheetId="0">'Výběrové porovnání dat'!$38:$38</definedName>
  </definedNames>
  <calcPr calcId="152511"/>
</workbook>
</file>

<file path=xl/calcChain.xml><?xml version="1.0" encoding="utf-8"?>
<calcChain xmlns="http://schemas.openxmlformats.org/spreadsheetml/2006/main">
  <c r="Y39" i="1" l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S50" i="1"/>
  <c r="C19" i="3"/>
  <c r="S44" i="1"/>
  <c r="R44" i="1"/>
  <c r="S47" i="1"/>
  <c r="S45" i="1"/>
  <c r="R50" i="1"/>
  <c r="T44" i="1"/>
  <c r="T39" i="1"/>
  <c r="T40" i="1"/>
  <c r="T41" i="1"/>
  <c r="T42" i="1"/>
  <c r="S49" i="1"/>
  <c r="S52" i="1"/>
  <c r="S53" i="1" s="1"/>
  <c r="S54" i="1"/>
  <c r="S51" i="1" l="1"/>
  <c r="R60" i="1"/>
  <c r="S60" i="1"/>
  <c r="R49" i="1"/>
  <c r="R51" i="1"/>
  <c r="R52" i="1"/>
  <c r="R53" i="1" s="1"/>
  <c r="R54" i="1"/>
  <c r="R47" i="1"/>
  <c r="R45" i="1"/>
  <c r="S61" i="1"/>
  <c r="R61" i="1" l="1"/>
  <c r="G16" i="2"/>
  <c r="G17" i="2" s="1"/>
  <c r="F17" i="2"/>
  <c r="E17" i="2"/>
  <c r="E15" i="2"/>
  <c r="Q61" i="1" l="1"/>
  <c r="Q47" i="1"/>
  <c r="Q60" i="1"/>
  <c r="Q51" i="1"/>
  <c r="Q52" i="1"/>
  <c r="Q53" i="1"/>
  <c r="Q49" i="1"/>
  <c r="Q44" i="1"/>
  <c r="Q50" i="1" l="1"/>
  <c r="Q54" i="1" s="1"/>
  <c r="G15" i="2"/>
  <c r="G14" i="2"/>
  <c r="G13" i="2"/>
  <c r="G11" i="2"/>
  <c r="F15" i="2"/>
  <c r="P47" i="1" l="1"/>
  <c r="P44" i="1"/>
  <c r="P49" i="1"/>
  <c r="P51" i="1"/>
  <c r="P52" i="1"/>
  <c r="P53" i="1" s="1"/>
  <c r="B5" i="3"/>
  <c r="B4" i="3"/>
  <c r="C5" i="3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s="1"/>
  <c r="B6" i="3" s="1"/>
  <c r="C6" i="3" s="1"/>
  <c r="D6" i="3" s="1"/>
  <c r="E6" i="3" s="1"/>
  <c r="F6" i="3" s="1"/>
  <c r="G6" i="3" s="1"/>
  <c r="H6" i="3" s="1"/>
  <c r="I6" i="3" s="1"/>
  <c r="J6" i="3" s="1"/>
  <c r="K6" i="3" s="1"/>
  <c r="L6" i="3" s="1"/>
  <c r="M6" i="3" s="1"/>
  <c r="N6" i="3" s="1"/>
  <c r="B7" i="3" s="1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C4" i="3"/>
  <c r="D4" i="3" s="1"/>
  <c r="E4" i="3" s="1"/>
  <c r="F4" i="3" s="1"/>
  <c r="G4" i="3" s="1"/>
  <c r="H4" i="3" s="1"/>
  <c r="I4" i="3" s="1"/>
  <c r="J4" i="3" s="1"/>
  <c r="K4" i="3" s="1"/>
  <c r="L4" i="3" s="1"/>
  <c r="M4" i="3" s="1"/>
  <c r="N4" i="3" s="1"/>
  <c r="D3" i="3"/>
  <c r="E3" i="3"/>
  <c r="F3" i="3" s="1"/>
  <c r="G3" i="3" s="1"/>
  <c r="H3" i="3" s="1"/>
  <c r="I3" i="3" s="1"/>
  <c r="J3" i="3" s="1"/>
  <c r="K3" i="3" s="1"/>
  <c r="L3" i="3" s="1"/>
  <c r="M3" i="3" s="1"/>
  <c r="N3" i="3" s="1"/>
  <c r="C3" i="3"/>
  <c r="B3" i="3"/>
  <c r="E2" i="3"/>
  <c r="L2" i="3"/>
  <c r="M2" i="3"/>
  <c r="N2" i="3" s="1"/>
  <c r="D2" i="3"/>
  <c r="F2" i="3" s="1"/>
  <c r="G2" i="3" s="1"/>
  <c r="H2" i="3" s="1"/>
  <c r="I2" i="3" s="1"/>
  <c r="J2" i="3" s="1"/>
  <c r="K2" i="3" s="1"/>
  <c r="C2" i="3"/>
  <c r="P50" i="1" l="1"/>
  <c r="P54" i="1" s="1"/>
  <c r="G12" i="2"/>
  <c r="F13" i="2"/>
  <c r="E13" i="2"/>
  <c r="E11" i="2"/>
  <c r="P61" i="1"/>
  <c r="O52" i="1"/>
  <c r="O53" i="1" s="1"/>
  <c r="O51" i="1"/>
  <c r="O47" i="1"/>
  <c r="O44" i="1"/>
  <c r="O49" i="1"/>
  <c r="O50" i="1" l="1"/>
  <c r="O54" i="1" s="1"/>
  <c r="F11" i="2"/>
  <c r="G10" i="2"/>
  <c r="O61" i="1"/>
  <c r="N49" i="1" l="1"/>
  <c r="N52" i="1"/>
  <c r="N53" i="1" s="1"/>
  <c r="N44" i="1"/>
  <c r="N45" i="1"/>
  <c r="T45" i="1" s="1"/>
  <c r="N51" i="1" l="1"/>
  <c r="N47" i="1"/>
  <c r="N50" i="1" s="1"/>
  <c r="N54" i="1" s="1"/>
  <c r="G4" i="2"/>
  <c r="G5" i="2"/>
  <c r="G6" i="2"/>
  <c r="G7" i="2"/>
  <c r="G8" i="2"/>
  <c r="F9" i="2"/>
  <c r="E9" i="2"/>
  <c r="G9" i="2" s="1"/>
  <c r="L61" i="1" l="1"/>
  <c r="M61" i="1"/>
  <c r="N61" i="1" l="1"/>
  <c r="F7" i="2" l="1"/>
  <c r="E7" i="2"/>
  <c r="G47" i="1" l="1"/>
  <c r="M52" i="1" l="1"/>
  <c r="M53" i="1" s="1"/>
  <c r="M51" i="1"/>
  <c r="M49" i="1"/>
  <c r="M47" i="1"/>
  <c r="M44" i="1"/>
  <c r="M50" i="1" s="1"/>
  <c r="M54" i="1" s="1"/>
  <c r="T59" i="1"/>
  <c r="U59" i="1" s="1"/>
  <c r="F51" i="1" l="1"/>
  <c r="F52" i="1"/>
  <c r="F53" i="1" s="1"/>
  <c r="F49" i="1"/>
  <c r="F47" i="1"/>
  <c r="F44" i="1"/>
  <c r="F50" i="1" l="1"/>
  <c r="F54" i="1" s="1"/>
  <c r="L52" i="1"/>
  <c r="L53" i="1"/>
  <c r="L51" i="1"/>
  <c r="L49" i="1"/>
  <c r="L47" i="1"/>
  <c r="L44" i="1"/>
  <c r="L50" i="1" l="1"/>
  <c r="L54" i="1" s="1"/>
  <c r="T57" i="1"/>
  <c r="U57" i="1" s="1"/>
  <c r="T58" i="1" l="1"/>
  <c r="U58" i="1" s="1"/>
  <c r="K49" i="1"/>
  <c r="K51" i="1"/>
  <c r="K52" i="1"/>
  <c r="K53" i="1" s="1"/>
  <c r="K47" i="1"/>
  <c r="K44" i="1"/>
  <c r="K50" i="1" l="1"/>
  <c r="K54" i="1" s="1"/>
  <c r="K61" i="1"/>
  <c r="J61" i="1" l="1"/>
  <c r="J44" i="1" l="1"/>
  <c r="J49" i="1"/>
  <c r="J47" i="1" l="1"/>
  <c r="J50" i="1" s="1"/>
  <c r="J54" i="1" s="1"/>
  <c r="J51" i="1"/>
  <c r="J52" i="1"/>
  <c r="J53" i="1" s="1"/>
  <c r="T43" i="1" l="1"/>
  <c r="T46" i="1"/>
  <c r="T48" i="1"/>
  <c r="U39" i="1" l="1"/>
  <c r="I44" i="1"/>
  <c r="H61" i="1" l="1"/>
  <c r="I61" i="1"/>
  <c r="T61" i="1" l="1"/>
  <c r="H60" i="1"/>
  <c r="U61" i="1" l="1"/>
  <c r="U65" i="1" s="1"/>
  <c r="I60" i="1"/>
  <c r="J60" i="1" s="1"/>
  <c r="K60" i="1" s="1"/>
  <c r="L60" i="1" s="1"/>
  <c r="M60" i="1" s="1"/>
  <c r="N60" i="1" s="1"/>
  <c r="O60" i="1" s="1"/>
  <c r="P60" i="1" s="1"/>
  <c r="G44" i="1"/>
  <c r="T60" i="1" l="1"/>
  <c r="E35" i="1" s="1"/>
  <c r="G52" i="1"/>
  <c r="G53" i="1" s="1"/>
  <c r="G51" i="1"/>
  <c r="G49" i="1"/>
  <c r="U60" i="1" l="1"/>
  <c r="G50" i="1"/>
  <c r="G54" i="1" s="1"/>
  <c r="U40" i="1"/>
  <c r="U41" i="1"/>
  <c r="U45" i="1"/>
  <c r="U46" i="1"/>
  <c r="I52" i="1" l="1"/>
  <c r="I53" i="1" s="1"/>
  <c r="H52" i="1"/>
  <c r="I49" i="1"/>
  <c r="H49" i="1"/>
  <c r="H44" i="1"/>
  <c r="I51" i="1"/>
  <c r="H51" i="1"/>
  <c r="I47" i="1"/>
  <c r="H47" i="1"/>
  <c r="T52" i="1" l="1"/>
  <c r="U52" i="1" s="1"/>
  <c r="T49" i="1"/>
  <c r="T51" i="1"/>
  <c r="T47" i="1"/>
  <c r="E23" i="1" s="1"/>
  <c r="H53" i="1"/>
  <c r="I50" i="1"/>
  <c r="I54" i="1" s="1"/>
  <c r="H50" i="1"/>
  <c r="E27" i="1" l="1"/>
  <c r="U47" i="1"/>
  <c r="T35" i="1" s="1"/>
  <c r="T53" i="1"/>
  <c r="U53" i="1" s="1"/>
  <c r="H54" i="1"/>
  <c r="U49" i="1" l="1"/>
  <c r="U42" i="1" l="1"/>
  <c r="T50" i="1" l="1"/>
  <c r="E31" i="1" s="1"/>
  <c r="U51" i="1"/>
  <c r="E20" i="1"/>
  <c r="E17" i="1" l="1"/>
  <c r="T54" i="1"/>
  <c r="U44" i="1"/>
  <c r="T20" i="1" s="1"/>
</calcChain>
</file>

<file path=xl/sharedStrings.xml><?xml version="1.0" encoding="utf-8"?>
<sst xmlns="http://schemas.openxmlformats.org/spreadsheetml/2006/main" count="93" uniqueCount="65">
  <si>
    <t>D-Pol</t>
  </si>
  <si>
    <t>Tř-Pol</t>
  </si>
  <si>
    <t>Název třídy položky</t>
  </si>
  <si>
    <t>B</t>
  </si>
  <si>
    <t>1</t>
  </si>
  <si>
    <t>DAŇOVÉ PŘÍJMY</t>
  </si>
  <si>
    <t>2</t>
  </si>
  <si>
    <t>NEDAŇOVÉ PŘÍJMY</t>
  </si>
  <si>
    <t>4</t>
  </si>
  <si>
    <t>5</t>
  </si>
  <si>
    <t>BĚŽNÉ VÝDAJE</t>
  </si>
  <si>
    <t>K</t>
  </si>
  <si>
    <t>3</t>
  </si>
  <si>
    <t>KAPITÁLOVÉ PŘÍJMY</t>
  </si>
  <si>
    <t>6</t>
  </si>
  <si>
    <t>KAPITÁLOVÉ VÝDAJE</t>
  </si>
  <si>
    <t>8</t>
  </si>
  <si>
    <t>FINANCOVÁNÍ</t>
  </si>
  <si>
    <t>Provozní saldo</t>
  </si>
  <si>
    <t>Kapitálové saldo</t>
  </si>
  <si>
    <t>PŘÍJMY CELKEM</t>
  </si>
  <si>
    <t>VÝDAJE CELKEM</t>
  </si>
  <si>
    <t>Celkové saldo vč. financování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</si>
  <si>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</si>
  <si>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</si>
  <si>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</si>
  <si>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</si>
  <si>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</si>
  <si>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</si>
  <si>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</si>
  <si>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</si>
  <si>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</si>
  <si>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</si>
  <si>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</si>
  <si>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</si>
  <si>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</si>
  <si>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PROVOZNÍ DOTACE</t>
  </si>
  <si>
    <t>KAPITÁLOVÉ TRANSFERY</t>
  </si>
  <si>
    <t>Aktuální stav:</t>
  </si>
  <si>
    <t>Provozní přebytek:</t>
  </si>
  <si>
    <t>Index finančních toků:</t>
  </si>
  <si>
    <t>Procento plnění/čerpání</t>
  </si>
  <si>
    <t>Výsledek hospodaření:</t>
  </si>
  <si>
    <t>NA</t>
  </si>
  <si>
    <t>SALDO (Výsledek hospodaření)</t>
  </si>
  <si>
    <t>MarJ</t>
  </si>
  <si>
    <t>Stav prostředků na účtech</t>
  </si>
  <si>
    <t>změna od počátku</t>
  </si>
  <si>
    <t>počáteční stav</t>
  </si>
  <si>
    <t>Stav úvěru</t>
  </si>
  <si>
    <t>Správa aktiv</t>
  </si>
  <si>
    <t>Kapitálové saldo vč. financování</t>
  </si>
  <si>
    <t>Plnění příjmů</t>
  </si>
  <si>
    <t>Stav kapitálové rezervy</t>
  </si>
  <si>
    <t xml:space="preserve">Stav provozní rezervy </t>
  </si>
  <si>
    <t>BĚŽNÉ PŘÍJMY</t>
  </si>
  <si>
    <t>Trend</t>
  </si>
  <si>
    <t>Schválený rozpočet</t>
  </si>
  <si>
    <t>Upravený   rozpočet</t>
  </si>
  <si>
    <t>xxx</t>
  </si>
  <si>
    <t>Index provozních úspor:</t>
  </si>
  <si>
    <t>Podíl úvěru k volným zdrojům:</t>
  </si>
  <si>
    <t>Monitoring hospodaření města Chomutova v roce 2017</t>
  </si>
  <si>
    <t>Podíl CAPEX na celkových výdajích</t>
  </si>
  <si>
    <t>Čerpání výdajů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</si>
</sst>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9.75"/>
      <name val="Times New Roman"/>
    </font>
    <font>
      <sz val="9.75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28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9.75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5F5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49" fontId="1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0" fontId="1" fillId="2" borderId="0" xfId="0" applyFont="1" applyFill="1" applyProtection="1"/>
    <xf numFmtId="49" fontId="1" fillId="2" borderId="0" xfId="0" applyNumberFormat="1" applyFont="1" applyFill="1" applyAlignment="1" applyProtection="1">
      <alignment vertical="center"/>
    </xf>
    <xf numFmtId="4" fontId="1" fillId="2" borderId="0" xfId="0" applyNumberFormat="1" applyFont="1" applyFill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0" fontId="2" fillId="2" borderId="0" xfId="0" applyFont="1" applyFill="1" applyProtection="1"/>
    <xf numFmtId="49" fontId="2" fillId="2" borderId="1" xfId="0" applyNumberFormat="1" applyFont="1" applyFill="1" applyBorder="1" applyAlignment="1" applyProtection="1">
      <alignment vertical="center"/>
    </xf>
    <xf numFmtId="49" fontId="3" fillId="2" borderId="0" xfId="0" applyNumberFormat="1" applyFont="1" applyFill="1" applyAlignment="1" applyProtection="1">
      <alignment vertical="center"/>
    </xf>
    <xf numFmtId="49" fontId="4" fillId="2" borderId="0" xfId="0" applyNumberFormat="1" applyFont="1" applyFill="1" applyAlignment="1" applyProtection="1">
      <alignment vertical="center"/>
    </xf>
    <xf numFmtId="49" fontId="5" fillId="3" borderId="1" xfId="0" applyNumberFormat="1" applyFont="1" applyFill="1" applyBorder="1" applyAlignment="1" applyProtection="1">
      <alignment horizontal="left" vertical="center" wrapText="1" indent="1"/>
    </xf>
    <xf numFmtId="4" fontId="5" fillId="3" borderId="1" xfId="0" applyNumberFormat="1" applyFont="1" applyFill="1" applyBorder="1" applyAlignment="1" applyProtection="1">
      <alignment horizontal="left" vertical="center" wrapText="1" indent="1"/>
    </xf>
    <xf numFmtId="4" fontId="6" fillId="0" borderId="1" xfId="0" applyNumberFormat="1" applyFont="1" applyBorder="1" applyAlignment="1" applyProtection="1">
      <alignment vertical="center" wrapText="1"/>
    </xf>
    <xf numFmtId="4" fontId="6" fillId="0" borderId="1" xfId="0" applyNumberFormat="1" applyFont="1" applyFill="1" applyBorder="1" applyAlignment="1" applyProtection="1">
      <alignment vertical="center"/>
    </xf>
    <xf numFmtId="4" fontId="5" fillId="3" borderId="1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Alignment="1" applyProtection="1">
      <alignment horizontal="left" indent="2"/>
    </xf>
    <xf numFmtId="49" fontId="7" fillId="2" borderId="0" xfId="0" applyNumberFormat="1" applyFont="1" applyFill="1" applyAlignment="1" applyProtection="1">
      <alignment horizontal="left" vertical="center" indent="2"/>
    </xf>
    <xf numFmtId="0" fontId="7" fillId="2" borderId="0" xfId="0" applyNumberFormat="1" applyFont="1" applyFill="1" applyAlignment="1" applyProtection="1">
      <alignment horizontal="left" vertical="center" indent="2"/>
    </xf>
    <xf numFmtId="164" fontId="7" fillId="2" borderId="0" xfId="0" applyNumberFormat="1" applyFont="1" applyFill="1" applyAlignment="1" applyProtection="1">
      <alignment horizontal="left" vertical="center" indent="2"/>
    </xf>
    <xf numFmtId="49" fontId="1" fillId="4" borderId="0" xfId="0" applyNumberFormat="1" applyFont="1" applyFill="1" applyAlignment="1" applyProtection="1">
      <alignment vertical="center"/>
    </xf>
    <xf numFmtId="0" fontId="8" fillId="2" borderId="0" xfId="0" applyFont="1" applyFill="1" applyProtection="1"/>
    <xf numFmtId="0" fontId="1" fillId="2" borderId="0" xfId="0" applyFont="1" applyFill="1" applyAlignment="1" applyProtection="1">
      <alignment horizontal="right"/>
    </xf>
    <xf numFmtId="49" fontId="1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Protection="1"/>
    <xf numFmtId="0" fontId="1" fillId="2" borderId="0" xfId="0" applyFont="1" applyFill="1" applyBorder="1" applyProtection="1"/>
    <xf numFmtId="4" fontId="5" fillId="4" borderId="2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left" vertical="center"/>
    </xf>
    <xf numFmtId="49" fontId="5" fillId="3" borderId="1" xfId="0" applyNumberFormat="1" applyFont="1" applyFill="1" applyBorder="1" applyAlignment="1" applyProtection="1">
      <alignment horizontal="left" vertical="center"/>
    </xf>
    <xf numFmtId="49" fontId="5" fillId="4" borderId="2" xfId="0" applyNumberFormat="1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vertical="center"/>
    </xf>
    <xf numFmtId="10" fontId="5" fillId="4" borderId="2" xfId="0" applyNumberFormat="1" applyFont="1" applyFill="1" applyBorder="1" applyAlignment="1" applyProtection="1">
      <alignment horizontal="right" vertical="center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Protection="1"/>
    <xf numFmtId="0" fontId="9" fillId="2" borderId="0" xfId="0" applyFont="1" applyFill="1" applyAlignment="1" applyProtection="1">
      <alignment horizontal="right"/>
    </xf>
    <xf numFmtId="49" fontId="5" fillId="5" borderId="1" xfId="0" applyNumberFormat="1" applyFont="1" applyFill="1" applyBorder="1" applyAlignment="1" applyProtection="1">
      <alignment horizontal="left" vertical="center"/>
    </xf>
    <xf numFmtId="4" fontId="5" fillId="5" borderId="1" xfId="0" applyNumberFormat="1" applyFont="1" applyFill="1" applyBorder="1" applyAlignment="1" applyProtection="1">
      <alignment vertical="center"/>
    </xf>
    <xf numFmtId="49" fontId="5" fillId="6" borderId="1" xfId="0" applyNumberFormat="1" applyFont="1" applyFill="1" applyBorder="1" applyAlignment="1" applyProtection="1">
      <alignment horizontal="left" vertical="center"/>
    </xf>
    <xf numFmtId="4" fontId="5" fillId="6" borderId="1" xfId="0" applyNumberFormat="1" applyFont="1" applyFill="1" applyBorder="1" applyAlignment="1" applyProtection="1">
      <alignment vertical="center"/>
    </xf>
    <xf numFmtId="49" fontId="5" fillId="7" borderId="1" xfId="0" applyNumberFormat="1" applyFont="1" applyFill="1" applyBorder="1" applyAlignment="1" applyProtection="1">
      <alignment horizontal="left" vertical="center"/>
    </xf>
    <xf numFmtId="4" fontId="5" fillId="7" borderId="1" xfId="0" applyNumberFormat="1" applyFont="1" applyFill="1" applyBorder="1" applyAlignment="1" applyProtection="1">
      <alignment vertical="center"/>
    </xf>
    <xf numFmtId="4" fontId="1" fillId="0" borderId="0" xfId="0" applyNumberFormat="1" applyFont="1" applyProtection="1"/>
    <xf numFmtId="49" fontId="10" fillId="4" borderId="0" xfId="0" applyNumberFormat="1" applyFont="1" applyFill="1" applyAlignment="1" applyProtection="1">
      <alignment horizontal="right" vertical="center"/>
    </xf>
    <xf numFmtId="49" fontId="10" fillId="4" borderId="0" xfId="0" applyNumberFormat="1" applyFont="1" applyFill="1" applyAlignment="1" applyProtection="1">
      <alignment vertical="center"/>
    </xf>
    <xf numFmtId="0" fontId="11" fillId="2" borderId="0" xfId="0" applyFont="1" applyFill="1" applyAlignment="1" applyProtection="1">
      <alignment vertical="top"/>
    </xf>
    <xf numFmtId="0" fontId="12" fillId="2" borderId="0" xfId="0" applyFont="1" applyFill="1" applyAlignment="1" applyProtection="1">
      <alignment vertical="top"/>
    </xf>
    <xf numFmtId="10" fontId="12" fillId="2" borderId="0" xfId="0" applyNumberFormat="1" applyFont="1" applyFill="1" applyAlignment="1" applyProtection="1">
      <alignment vertical="top"/>
    </xf>
    <xf numFmtId="0" fontId="12" fillId="2" borderId="0" xfId="0" applyFont="1" applyFill="1" applyAlignment="1" applyProtection="1">
      <alignment horizontal="left" vertical="top" indent="7"/>
    </xf>
    <xf numFmtId="10" fontId="6" fillId="0" borderId="1" xfId="0" applyNumberFormat="1" applyFont="1" applyFill="1" applyBorder="1" applyAlignment="1" applyProtection="1">
      <alignment horizontal="right" vertical="center" indent="2"/>
    </xf>
    <xf numFmtId="10" fontId="5" fillId="3" borderId="1" xfId="0" applyNumberFormat="1" applyFont="1" applyFill="1" applyBorder="1" applyAlignment="1" applyProtection="1">
      <alignment horizontal="right" vertical="center" indent="2"/>
    </xf>
    <xf numFmtId="10" fontId="5" fillId="5" borderId="1" xfId="0" applyNumberFormat="1" applyFont="1" applyFill="1" applyBorder="1" applyAlignment="1" applyProtection="1">
      <alignment horizontal="right" vertical="center" indent="2"/>
    </xf>
    <xf numFmtId="10" fontId="5" fillId="6" borderId="1" xfId="0" applyNumberFormat="1" applyFont="1" applyFill="1" applyBorder="1" applyAlignment="1" applyProtection="1">
      <alignment horizontal="right" vertical="center" indent="2"/>
    </xf>
    <xf numFmtId="10" fontId="5" fillId="7" borderId="1" xfId="0" applyNumberFormat="1" applyFont="1" applyFill="1" applyBorder="1" applyAlignment="1" applyProtection="1">
      <alignment horizontal="right" vertical="center" indent="2"/>
    </xf>
    <xf numFmtId="4" fontId="6" fillId="0" borderId="1" xfId="0" applyNumberFormat="1" applyFont="1" applyBorder="1" applyAlignment="1" applyProtection="1">
      <alignment horizontal="right" vertical="center" wrapText="1"/>
    </xf>
    <xf numFmtId="4" fontId="8" fillId="0" borderId="0" xfId="0" applyNumberFormat="1" applyFont="1" applyProtection="1"/>
    <xf numFmtId="4" fontId="6" fillId="0" borderId="1" xfId="0" applyNumberFormat="1" applyFont="1" applyBorder="1" applyAlignment="1" applyProtection="1">
      <alignment vertical="center"/>
    </xf>
    <xf numFmtId="164" fontId="7" fillId="2" borderId="0" xfId="0" applyNumberFormat="1" applyFont="1" applyFill="1" applyBorder="1" applyAlignment="1" applyProtection="1">
      <alignment horizontal="center" vertical="center"/>
    </xf>
    <xf numFmtId="0" fontId="2" fillId="4" borderId="0" xfId="0" applyFont="1" applyFill="1" applyProtection="1"/>
    <xf numFmtId="0" fontId="1" fillId="4" borderId="0" xfId="0" applyFont="1" applyFill="1" applyBorder="1" applyProtection="1"/>
    <xf numFmtId="0" fontId="1" fillId="0" borderId="1" xfId="0" applyFont="1" applyBorder="1" applyProtection="1"/>
    <xf numFmtId="0" fontId="2" fillId="9" borderId="1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left" vertical="top" indent="6"/>
    </xf>
    <xf numFmtId="0" fontId="1" fillId="2" borderId="2" xfId="0" applyFont="1" applyFill="1" applyBorder="1" applyProtection="1"/>
    <xf numFmtId="164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49" fontId="7" fillId="4" borderId="0" xfId="0" applyNumberFormat="1" applyFont="1" applyFill="1" applyAlignment="1" applyProtection="1">
      <alignment horizontal="left" vertical="center" indent="2"/>
    </xf>
    <xf numFmtId="4" fontId="0" fillId="0" borderId="0" xfId="0" applyNumberFormat="1" applyProtection="1"/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4" fontId="6" fillId="0" borderId="1" xfId="0" applyNumberFormat="1" applyFont="1" applyBorder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 wrapText="1"/>
    </xf>
    <xf numFmtId="4" fontId="6" fillId="8" borderId="1" xfId="0" applyNumberFormat="1" applyFont="1" applyFill="1" applyBorder="1" applyAlignment="1" applyProtection="1">
      <alignment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" fontId="6" fillId="0" borderId="3" xfId="0" applyNumberFormat="1" applyFont="1" applyBorder="1" applyAlignment="1" applyProtection="1">
      <alignment vertical="center" wrapText="1"/>
    </xf>
    <xf numFmtId="4" fontId="5" fillId="3" borderId="3" xfId="0" applyNumberFormat="1" applyFont="1" applyFill="1" applyBorder="1" applyAlignment="1" applyProtection="1">
      <alignment vertical="center"/>
    </xf>
    <xf numFmtId="4" fontId="6" fillId="0" borderId="3" xfId="0" applyNumberFormat="1" applyFont="1" applyFill="1" applyBorder="1" applyAlignment="1" applyProtection="1">
      <alignment vertical="center"/>
    </xf>
    <xf numFmtId="4" fontId="5" fillId="5" borderId="3" xfId="0" applyNumberFormat="1" applyFont="1" applyFill="1" applyBorder="1" applyAlignment="1" applyProtection="1">
      <alignment vertical="center"/>
    </xf>
    <xf numFmtId="4" fontId="5" fillId="6" borderId="3" xfId="0" applyNumberFormat="1" applyFont="1" applyFill="1" applyBorder="1" applyAlignment="1" applyProtection="1">
      <alignment vertical="center"/>
    </xf>
    <xf numFmtId="4" fontId="5" fillId="7" borderId="3" xfId="0" applyNumberFormat="1" applyFont="1" applyFill="1" applyBorder="1" applyAlignment="1" applyProtection="1">
      <alignment vertical="center"/>
    </xf>
    <xf numFmtId="4" fontId="5" fillId="10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vertical="center" wrapText="1"/>
    </xf>
    <xf numFmtId="10" fontId="7" fillId="2" borderId="0" xfId="0" applyNumberFormat="1" applyFont="1" applyFill="1" applyAlignment="1" applyProtection="1">
      <alignment horizontal="center" vertical="center"/>
    </xf>
    <xf numFmtId="2" fontId="7" fillId="2" borderId="0" xfId="0" applyNumberFormat="1" applyFont="1" applyFill="1" applyAlignment="1" applyProtection="1">
      <alignment horizontal="center" vertical="center"/>
    </xf>
    <xf numFmtId="164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Alignment="1" applyProtection="1">
      <alignment horizontal="center" vertical="center"/>
    </xf>
    <xf numFmtId="10" fontId="7" fillId="2" borderId="0" xfId="0" applyNumberFormat="1" applyFont="1" applyFill="1" applyBorder="1" applyAlignment="1" applyProtection="1">
      <alignment horizontal="center" vertical="center"/>
    </xf>
    <xf numFmtId="164" fontId="7" fillId="2" borderId="0" xfId="0" applyNumberFormat="1" applyFont="1" applyFill="1" applyBorder="1" applyAlignment="1" applyProtection="1">
      <alignment horizontal="left" vertical="center" indent="2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E5F5FF"/>
      <color rgb="FF1F497D"/>
      <color rgb="FFCCFFCC"/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Hospodářský</a:t>
            </a:r>
            <a:r>
              <a:rPr lang="cs-CZ" sz="1600" b="1" baseline="0"/>
              <a:t> výsledek</a:t>
            </a:r>
            <a:endParaRPr lang="cs-CZ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'Výběrové porovnání dat'!$H$38:$S$38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dat'!$H$50:$S$50</c:f>
              <c:numCache>
                <c:formatCode>#,##0.00</c:formatCode>
                <c:ptCount val="12"/>
                <c:pt idx="0">
                  <c:v>19460255.129999995</c:v>
                </c:pt>
                <c:pt idx="1">
                  <c:v>20135190.020000011</c:v>
                </c:pt>
                <c:pt idx="2">
                  <c:v>56333677.270000041</c:v>
                </c:pt>
                <c:pt idx="3">
                  <c:v>36150197.090000033</c:v>
                </c:pt>
                <c:pt idx="4">
                  <c:v>48297464.359999955</c:v>
                </c:pt>
                <c:pt idx="5">
                  <c:v>102472342.36999995</c:v>
                </c:pt>
                <c:pt idx="6">
                  <c:v>119477348.94999993</c:v>
                </c:pt>
                <c:pt idx="7">
                  <c:v>129160577.50999993</c:v>
                </c:pt>
                <c:pt idx="8">
                  <c:v>91087751.430000067</c:v>
                </c:pt>
                <c:pt idx="9">
                  <c:v>78937320.9599998</c:v>
                </c:pt>
                <c:pt idx="10">
                  <c:v>37325845.960000277</c:v>
                </c:pt>
                <c:pt idx="11">
                  <c:v>-38459558.779999971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04544"/>
        <c:axId val="114232128"/>
      </c:barChart>
      <c:catAx>
        <c:axId val="11780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4232128"/>
        <c:crosses val="autoZero"/>
        <c:auto val="1"/>
        <c:lblAlgn val="ctr"/>
        <c:lblOffset val="100"/>
        <c:noMultiLvlLbl val="0"/>
      </c:catAx>
      <c:valAx>
        <c:axId val="11423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7804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Provozní a kapitálové saldo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Provozní saldo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'Výběrové porovnání dat'!$H$38:$S$38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dat'!$H$51:$S$51</c:f>
              <c:numCache>
                <c:formatCode>#,##0.00</c:formatCode>
                <c:ptCount val="12"/>
                <c:pt idx="0">
                  <c:v>21293495.119999997</c:v>
                </c:pt>
                <c:pt idx="1">
                  <c:v>26882460.460000008</c:v>
                </c:pt>
                <c:pt idx="2">
                  <c:v>63227656.050000042</c:v>
                </c:pt>
                <c:pt idx="3">
                  <c:v>53366820.819999993</c:v>
                </c:pt>
                <c:pt idx="4">
                  <c:v>69066195.329999983</c:v>
                </c:pt>
                <c:pt idx="5">
                  <c:v>127960887.32999998</c:v>
                </c:pt>
                <c:pt idx="6">
                  <c:v>154651191.14999992</c:v>
                </c:pt>
                <c:pt idx="7">
                  <c:v>170973500.83999997</c:v>
                </c:pt>
                <c:pt idx="8">
                  <c:v>172380252.27999997</c:v>
                </c:pt>
                <c:pt idx="9">
                  <c:v>176076685.8599999</c:v>
                </c:pt>
                <c:pt idx="10">
                  <c:v>171520364.22000027</c:v>
                </c:pt>
                <c:pt idx="11">
                  <c:v>171422933.6400001</c:v>
                </c:pt>
              </c:numCache>
            </c:numRef>
          </c:val>
        </c:ser>
        <c:ser>
          <c:idx val="1"/>
          <c:order val="1"/>
          <c:tx>
            <c:v>Kapitálové saldo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'Výběrové porovnání dat'!$H$52:$S$52</c:f>
              <c:numCache>
                <c:formatCode>#,##0.00</c:formatCode>
                <c:ptCount val="12"/>
                <c:pt idx="0">
                  <c:v>-1833239.99</c:v>
                </c:pt>
                <c:pt idx="1">
                  <c:v>-6747270.4400000004</c:v>
                </c:pt>
                <c:pt idx="2">
                  <c:v>-6893978.7800000003</c:v>
                </c:pt>
                <c:pt idx="3">
                  <c:v>-17216623.73</c:v>
                </c:pt>
                <c:pt idx="4">
                  <c:v>-20768730.969999999</c:v>
                </c:pt>
                <c:pt idx="5">
                  <c:v>-25488544.960000001</c:v>
                </c:pt>
                <c:pt idx="6">
                  <c:v>-35173842.200000003</c:v>
                </c:pt>
                <c:pt idx="7">
                  <c:v>-41812923.329999998</c:v>
                </c:pt>
                <c:pt idx="8">
                  <c:v>-81292500.850000009</c:v>
                </c:pt>
                <c:pt idx="9">
                  <c:v>-97139364.899999991</c:v>
                </c:pt>
                <c:pt idx="10">
                  <c:v>-134194518.25999999</c:v>
                </c:pt>
                <c:pt idx="11">
                  <c:v>-209882492.41999999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03008"/>
        <c:axId val="114233856"/>
      </c:barChart>
      <c:catAx>
        <c:axId val="11780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4233856"/>
        <c:crosses val="autoZero"/>
        <c:auto val="1"/>
        <c:lblAlgn val="ctr"/>
        <c:lblOffset val="100"/>
        <c:noMultiLvlLbl val="0"/>
      </c:catAx>
      <c:valAx>
        <c:axId val="11423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7803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Kapitálové výdaje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'Výběrové porovnání dat'!$H$38:$S$38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dat'!$H$46:$S$46</c:f>
              <c:numCache>
                <c:formatCode>#,##0.00</c:formatCode>
                <c:ptCount val="12"/>
                <c:pt idx="0">
                  <c:v>1900783.99</c:v>
                </c:pt>
                <c:pt idx="1">
                  <c:v>6966823.4400000004</c:v>
                </c:pt>
                <c:pt idx="2">
                  <c:v>8458635.9000000004</c:v>
                </c:pt>
                <c:pt idx="3">
                  <c:v>18819038.75</c:v>
                </c:pt>
                <c:pt idx="4">
                  <c:v>22638768.989999998</c:v>
                </c:pt>
                <c:pt idx="5">
                  <c:v>28159923.98</c:v>
                </c:pt>
                <c:pt idx="6">
                  <c:v>37935142.420000002</c:v>
                </c:pt>
                <c:pt idx="7">
                  <c:v>44639959.890000001</c:v>
                </c:pt>
                <c:pt idx="8">
                  <c:v>84219061.310000002</c:v>
                </c:pt>
                <c:pt idx="9">
                  <c:v>101150727.45999999</c:v>
                </c:pt>
                <c:pt idx="10">
                  <c:v>138525540.31999999</c:v>
                </c:pt>
                <c:pt idx="11">
                  <c:v>215832991.47999999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8220288"/>
        <c:axId val="114235584"/>
      </c:barChart>
      <c:catAx>
        <c:axId val="15822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4235584"/>
        <c:crosses val="autoZero"/>
        <c:auto val="1"/>
        <c:lblAlgn val="ctr"/>
        <c:lblOffset val="100"/>
        <c:noMultiLvlLbl val="0"/>
      </c:catAx>
      <c:valAx>
        <c:axId val="11423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8220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Vývoj příjmů a výdajů rozpočtu města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Příjmy rozpočtu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'Výběrové porovnání dat'!$H$38:$S$38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dat'!$H$44:$S$44</c:f>
              <c:numCache>
                <c:formatCode>#,##0.00</c:formatCode>
                <c:ptCount val="12"/>
                <c:pt idx="0">
                  <c:v>58669452.469999999</c:v>
                </c:pt>
                <c:pt idx="1">
                  <c:v>121969225.32000001</c:v>
                </c:pt>
                <c:pt idx="2">
                  <c:v>230394776.59000003</c:v>
                </c:pt>
                <c:pt idx="3">
                  <c:v>290096005.28000003</c:v>
                </c:pt>
                <c:pt idx="4">
                  <c:v>365979521.42999995</c:v>
                </c:pt>
                <c:pt idx="5">
                  <c:v>500800374.67999995</c:v>
                </c:pt>
                <c:pt idx="6">
                  <c:v>583679533.76000011</c:v>
                </c:pt>
                <c:pt idx="7">
                  <c:v>654494368.55999994</c:v>
                </c:pt>
                <c:pt idx="8">
                  <c:v>721564682.97000003</c:v>
                </c:pt>
                <c:pt idx="9">
                  <c:v>785162300.8599999</c:v>
                </c:pt>
                <c:pt idx="10">
                  <c:v>852339361.99000001</c:v>
                </c:pt>
                <c:pt idx="11">
                  <c:v>968240319.15999985</c:v>
                </c:pt>
              </c:numCache>
            </c:numRef>
          </c:val>
          <c:smooth val="0"/>
        </c:ser>
        <c:ser>
          <c:idx val="1"/>
          <c:order val="1"/>
          <c:tx>
            <c:v>Výdaje rozpočtu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'Výběrové porovnání dat'!$H$38:$S$38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dat'!$H$47:$S$47</c:f>
              <c:numCache>
                <c:formatCode>#,##0.00</c:formatCode>
                <c:ptCount val="12"/>
                <c:pt idx="0">
                  <c:v>39209197.340000004</c:v>
                </c:pt>
                <c:pt idx="1">
                  <c:v>101834035.3</c:v>
                </c:pt>
                <c:pt idx="2">
                  <c:v>174061099.31999999</c:v>
                </c:pt>
                <c:pt idx="3">
                  <c:v>253945808.19</c:v>
                </c:pt>
                <c:pt idx="4">
                  <c:v>317682057.06999999</c:v>
                </c:pt>
                <c:pt idx="5">
                  <c:v>398328032.31</c:v>
                </c:pt>
                <c:pt idx="6">
                  <c:v>464202184.81000018</c:v>
                </c:pt>
                <c:pt idx="7">
                  <c:v>525333791.05000001</c:v>
                </c:pt>
                <c:pt idx="8">
                  <c:v>630476931.53999996</c:v>
                </c:pt>
                <c:pt idx="9">
                  <c:v>706224979.9000001</c:v>
                </c:pt>
                <c:pt idx="10">
                  <c:v>815013516.02999973</c:v>
                </c:pt>
                <c:pt idx="11">
                  <c:v>1006699877.9399998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21824"/>
        <c:axId val="158015488"/>
      </c:lineChart>
      <c:catAx>
        <c:axId val="15822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8015488"/>
        <c:crosses val="autoZero"/>
        <c:auto val="1"/>
        <c:lblAlgn val="ctr"/>
        <c:lblOffset val="100"/>
        <c:noMultiLvlLbl val="0"/>
      </c:catAx>
      <c:valAx>
        <c:axId val="15801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5822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Struktura</a:t>
            </a:r>
            <a:r>
              <a:rPr lang="cs-CZ" sz="1600" b="1" baseline="0"/>
              <a:t> příjmů</a:t>
            </a:r>
            <a:endParaRPr lang="cs-CZ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875745975242003E-2"/>
          <c:y val="0.20306010101010097"/>
          <c:w val="0.525173919449197"/>
          <c:h val="0.7579217171717171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634926811924125"/>
                  <c:y val="-0.148253535353535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9844716630273942E-3"/>
                  <c:y val="4.1302184363667029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4044797759442643E-3"/>
                  <c:y val="-3.9227460571814119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'Výběrové porovnání dat'!$E$39:$E$43</c:f>
              <c:strCache>
                <c:ptCount val="5"/>
                <c:pt idx="0">
                  <c:v>DAŇOVÉ PŘÍJMY</c:v>
                </c:pt>
                <c:pt idx="1">
                  <c:v>NEDAŇOVÉ PŘÍJMY</c:v>
                </c:pt>
                <c:pt idx="2">
                  <c:v>KAPITÁLOVÉ PŘÍJMY</c:v>
                </c:pt>
                <c:pt idx="3">
                  <c:v>PROVOZNÍ DOTACE</c:v>
                </c:pt>
                <c:pt idx="4">
                  <c:v>KAPITÁLOVÉ TRANSFERY</c:v>
                </c:pt>
              </c:strCache>
            </c:strRef>
          </c:cat>
          <c:val>
            <c:numRef>
              <c:f>'Výběrové porovnání dat'!$T$39:$T$43</c:f>
              <c:numCache>
                <c:formatCode>#,##0.00</c:formatCode>
                <c:ptCount val="5"/>
                <c:pt idx="0">
                  <c:v>722802908.28999996</c:v>
                </c:pt>
                <c:pt idx="1">
                  <c:v>97010308.530000001</c:v>
                </c:pt>
                <c:pt idx="2">
                  <c:v>4314257.0599999996</c:v>
                </c:pt>
                <c:pt idx="3">
                  <c:v>142476603.28</c:v>
                </c:pt>
                <c:pt idx="4">
                  <c:v>1636242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4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Struktura</a:t>
            </a:r>
            <a:r>
              <a:rPr lang="cs-CZ" sz="1600" b="1" baseline="0"/>
              <a:t> výdajů</a:t>
            </a:r>
            <a:endParaRPr lang="cs-CZ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875745975242003E-2"/>
          <c:y val="0.20306010101010097"/>
          <c:w val="0.525173919449197"/>
          <c:h val="0.7579217171717171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22225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634926811924125"/>
                  <c:y val="-0.148253535353535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'Výběrové porovnání dat'!$E$45:$E$46</c:f>
              <c:strCache>
                <c:ptCount val="2"/>
                <c:pt idx="0">
                  <c:v>BĚŽNÉ VÝDAJE</c:v>
                </c:pt>
                <c:pt idx="1">
                  <c:v>KAPITÁLOVÉ VÝDAJE</c:v>
                </c:pt>
              </c:strCache>
            </c:strRef>
          </c:cat>
          <c:val>
            <c:numRef>
              <c:f>'Výběrové porovnání dat'!$T$45:$T$46</c:f>
              <c:numCache>
                <c:formatCode>#,##0.00</c:formatCode>
                <c:ptCount val="2"/>
                <c:pt idx="0">
                  <c:v>790866886.4599998</c:v>
                </c:pt>
                <c:pt idx="1">
                  <c:v>215832991.47999999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4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>
          <a:glow rad="38100">
            <a:schemeClr val="accent1">
              <a:alpha val="40000"/>
            </a:schemeClr>
          </a:glo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13280</xdr:rowOff>
    </xdr:from>
    <xdr:to>
      <xdr:col>6</xdr:col>
      <xdr:colOff>466725</xdr:colOff>
      <xdr:row>12</xdr:row>
      <xdr:rowOff>14024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337130"/>
          <a:ext cx="3448050" cy="1953369"/>
        </a:xfrm>
        <a:prstGeom prst="rect">
          <a:avLst/>
        </a:prstGeom>
      </xdr:spPr>
    </xdr:pic>
    <xdr:clientData/>
  </xdr:twoCellAnchor>
  <xdr:twoCellAnchor>
    <xdr:from>
      <xdr:col>7</xdr:col>
      <xdr:colOff>26458</xdr:colOff>
      <xdr:row>6</xdr:row>
      <xdr:rowOff>147107</xdr:rowOff>
    </xdr:from>
    <xdr:to>
      <xdr:col>11</xdr:col>
      <xdr:colOff>746125</xdr:colOff>
      <xdr:row>18</xdr:row>
      <xdr:rowOff>134036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31751</xdr:colOff>
      <xdr:row>6</xdr:row>
      <xdr:rowOff>147107</xdr:rowOff>
    </xdr:from>
    <xdr:to>
      <xdr:col>16</xdr:col>
      <xdr:colOff>751417</xdr:colOff>
      <xdr:row>18</xdr:row>
      <xdr:rowOff>134036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42332</xdr:colOff>
      <xdr:row>19</xdr:row>
      <xdr:rowOff>312963</xdr:rowOff>
    </xdr:from>
    <xdr:to>
      <xdr:col>11</xdr:col>
      <xdr:colOff>761999</xdr:colOff>
      <xdr:row>32</xdr:row>
      <xdr:rowOff>15856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21166</xdr:colOff>
      <xdr:row>19</xdr:row>
      <xdr:rowOff>312963</xdr:rowOff>
    </xdr:from>
    <xdr:to>
      <xdr:col>16</xdr:col>
      <xdr:colOff>740832</xdr:colOff>
      <xdr:row>32</xdr:row>
      <xdr:rowOff>15856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60587</xdr:colOff>
      <xdr:row>6</xdr:row>
      <xdr:rowOff>147107</xdr:rowOff>
    </xdr:from>
    <xdr:to>
      <xdr:col>22</xdr:col>
      <xdr:colOff>567737</xdr:colOff>
      <xdr:row>18</xdr:row>
      <xdr:rowOff>134732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40821</xdr:colOff>
      <xdr:row>19</xdr:row>
      <xdr:rowOff>312963</xdr:rowOff>
    </xdr:from>
    <xdr:to>
      <xdr:col>22</xdr:col>
      <xdr:colOff>547971</xdr:colOff>
      <xdr:row>32</xdr:row>
      <xdr:rowOff>15856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FB67"/>
  <sheetViews>
    <sheetView showGridLines="0" tabSelected="1" zoomScale="80" zoomScaleNormal="80" workbookViewId="0">
      <selection activeCell="J5" sqref="J5"/>
    </sheetView>
  </sheetViews>
  <sheetFormatPr defaultColWidth="0" defaultRowHeight="12.6" zeroHeight="1" x14ac:dyDescent="0.25"/>
  <cols>
    <col min="1" max="1" width="2.625" style="1" customWidth="1"/>
    <col min="2" max="2" width="2.125" style="1" customWidth="1"/>
    <col min="3" max="3" width="6.375" style="3" hidden="1" customWidth="1"/>
    <col min="4" max="4" width="7.125" style="3" hidden="1" customWidth="1"/>
    <col min="5" max="5" width="32.625" style="3" customWidth="1"/>
    <col min="6" max="6" width="19.5" style="3" customWidth="1"/>
    <col min="7" max="7" width="22.375" style="3" bestFit="1" customWidth="1"/>
    <col min="8" max="13" width="16.875" style="4" customWidth="1"/>
    <col min="14" max="18" width="16.875" style="1" customWidth="1"/>
    <col min="19" max="19" width="18.625" style="1" bestFit="1" customWidth="1"/>
    <col min="20" max="20" width="21" style="1" customWidth="1"/>
    <col min="21" max="21" width="18.375" style="1" customWidth="1"/>
    <col min="22" max="22" width="2.125" style="1" customWidth="1"/>
    <col min="23" max="23" width="15.625" style="1" customWidth="1"/>
    <col min="24" max="24" width="2.375" style="1" customWidth="1"/>
    <col min="25" max="25" width="18.625" style="1" customWidth="1"/>
    <col min="26" max="16382" width="2.375" style="1" hidden="1"/>
    <col min="16383" max="16383" width="13" style="1" customWidth="1"/>
    <col min="16384" max="16384" width="21.375" style="1" customWidth="1"/>
  </cols>
  <sheetData>
    <row r="1" spans="2:24" x14ac:dyDescent="0.25"/>
    <row r="2" spans="2:24" x14ac:dyDescent="0.25">
      <c r="B2" s="5"/>
      <c r="C2" s="6"/>
      <c r="D2" s="6"/>
      <c r="E2" s="6"/>
      <c r="F2" s="6"/>
      <c r="G2" s="6"/>
      <c r="H2" s="7"/>
      <c r="I2" s="7"/>
      <c r="J2" s="7"/>
      <c r="K2" s="7"/>
      <c r="L2" s="7"/>
      <c r="M2" s="7"/>
      <c r="N2" s="5"/>
      <c r="O2" s="5"/>
      <c r="P2" s="5"/>
      <c r="Q2" s="5"/>
      <c r="R2" s="5"/>
      <c r="S2" s="5"/>
      <c r="T2" s="5"/>
      <c r="U2" s="5"/>
      <c r="V2" s="5"/>
      <c r="W2" s="38"/>
      <c r="X2" s="38"/>
    </row>
    <row r="3" spans="2:24" x14ac:dyDescent="0.25">
      <c r="B3" s="5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38"/>
      <c r="X3" s="38"/>
    </row>
    <row r="4" spans="2:24" ht="8.25" customHeight="1" x14ac:dyDescent="0.25">
      <c r="B4" s="5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38"/>
      <c r="X4" s="38"/>
    </row>
    <row r="5" spans="2:24" ht="36.6" x14ac:dyDescent="0.25">
      <c r="B5" s="5"/>
      <c r="C5" s="6"/>
      <c r="D5" s="6"/>
      <c r="E5" s="5"/>
      <c r="F5" s="5"/>
      <c r="G5" s="5"/>
      <c r="H5" s="13" t="s">
        <v>62</v>
      </c>
      <c r="I5" s="7"/>
      <c r="J5" s="7"/>
      <c r="K5" s="7"/>
      <c r="L5" s="7"/>
      <c r="M5" s="7"/>
      <c r="N5" s="5"/>
      <c r="O5" s="5"/>
      <c r="P5" s="5"/>
      <c r="Q5" s="5"/>
      <c r="R5" s="5"/>
      <c r="S5" s="5"/>
      <c r="T5" s="5"/>
      <c r="U5" s="5"/>
      <c r="V5" s="5"/>
      <c r="W5" s="38"/>
      <c r="X5" s="38"/>
    </row>
    <row r="6" spans="2:24" ht="12" customHeight="1" x14ac:dyDescent="0.25">
      <c r="B6" s="5"/>
      <c r="C6" s="6"/>
      <c r="D6" s="6"/>
      <c r="E6" s="5"/>
      <c r="F6" s="5"/>
      <c r="G6" s="5"/>
      <c r="H6" s="12"/>
      <c r="I6" s="7"/>
      <c r="J6" s="7"/>
      <c r="K6" s="7"/>
      <c r="L6" s="7"/>
      <c r="M6" s="7"/>
      <c r="N6" s="5"/>
      <c r="O6" s="5"/>
      <c r="P6" s="5"/>
      <c r="Q6" s="5"/>
      <c r="R6" s="5"/>
      <c r="S6" s="5"/>
      <c r="T6" s="5"/>
      <c r="U6" s="5"/>
      <c r="V6" s="5"/>
      <c r="W6" s="38"/>
      <c r="X6" s="38"/>
    </row>
    <row r="7" spans="2:24" x14ac:dyDescent="0.25">
      <c r="B7" s="5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5"/>
      <c r="O7" s="5"/>
      <c r="P7" s="5"/>
      <c r="Q7" s="5"/>
      <c r="R7" s="5"/>
      <c r="S7" s="5"/>
      <c r="T7" s="5"/>
      <c r="U7" s="5"/>
      <c r="V7" s="5"/>
      <c r="W7" s="38"/>
      <c r="X7" s="38"/>
    </row>
    <row r="8" spans="2:24" x14ac:dyDescent="0.25">
      <c r="B8" s="5"/>
      <c r="C8" s="6"/>
      <c r="D8" s="6"/>
      <c r="E8" s="6"/>
      <c r="F8" s="6"/>
      <c r="G8" s="6"/>
      <c r="H8" s="7"/>
      <c r="I8" s="7"/>
      <c r="J8" s="7"/>
      <c r="K8" s="7"/>
      <c r="L8" s="7"/>
      <c r="M8" s="7"/>
      <c r="N8" s="5"/>
      <c r="O8" s="5"/>
      <c r="P8" s="5"/>
      <c r="Q8" s="5"/>
      <c r="R8" s="5"/>
      <c r="S8" s="5"/>
      <c r="T8" s="5"/>
      <c r="U8" s="5"/>
      <c r="V8" s="5"/>
      <c r="W8" s="38"/>
      <c r="X8" s="38"/>
    </row>
    <row r="9" spans="2:24" x14ac:dyDescent="0.25">
      <c r="B9" s="5"/>
      <c r="C9" s="6"/>
      <c r="D9" s="6"/>
      <c r="E9" s="6"/>
      <c r="F9" s="6"/>
      <c r="G9" s="6"/>
      <c r="H9" s="7"/>
      <c r="I9" s="7"/>
      <c r="J9" s="7"/>
      <c r="K9" s="7"/>
      <c r="L9" s="7"/>
      <c r="M9" s="7"/>
      <c r="N9" s="5"/>
      <c r="O9" s="5"/>
      <c r="P9" s="5"/>
      <c r="Q9" s="5"/>
      <c r="R9" s="5"/>
      <c r="S9" s="5"/>
      <c r="T9" s="5"/>
      <c r="U9" s="5"/>
      <c r="V9" s="5"/>
      <c r="W9" s="38"/>
      <c r="X9" s="38"/>
    </row>
    <row r="10" spans="2:24" x14ac:dyDescent="0.25">
      <c r="B10" s="5"/>
      <c r="C10" s="6"/>
      <c r="D10" s="6"/>
      <c r="E10" s="6"/>
      <c r="F10" s="6"/>
      <c r="G10" s="23"/>
      <c r="H10" s="7"/>
      <c r="I10" s="7"/>
      <c r="J10" s="7"/>
      <c r="K10" s="7"/>
      <c r="L10" s="7"/>
      <c r="M10" s="7"/>
      <c r="N10" s="5"/>
      <c r="O10" s="5"/>
      <c r="P10" s="5"/>
      <c r="Q10" s="5"/>
      <c r="R10" s="5"/>
      <c r="S10" s="5"/>
      <c r="T10" s="5"/>
      <c r="U10" s="5"/>
      <c r="V10" s="5"/>
      <c r="W10" s="38"/>
      <c r="X10" s="38"/>
    </row>
    <row r="11" spans="2:24" ht="21" x14ac:dyDescent="0.4">
      <c r="B11" s="5"/>
      <c r="C11" s="6"/>
      <c r="D11" s="6"/>
      <c r="E11" s="23"/>
      <c r="F11" s="23"/>
      <c r="G11" s="19"/>
      <c r="H11" s="7"/>
      <c r="I11" s="7"/>
      <c r="J11" s="7"/>
      <c r="K11" s="7"/>
      <c r="L11" s="7"/>
      <c r="M11" s="7"/>
      <c r="N11" s="5"/>
      <c r="O11" s="5"/>
      <c r="P11" s="5"/>
      <c r="Q11" s="5"/>
      <c r="R11" s="5"/>
      <c r="S11" s="5"/>
      <c r="T11" s="5"/>
      <c r="U11" s="5"/>
      <c r="V11" s="5"/>
      <c r="W11" s="38"/>
      <c r="X11" s="38"/>
    </row>
    <row r="12" spans="2:24" x14ac:dyDescent="0.25">
      <c r="B12" s="5"/>
      <c r="C12" s="6"/>
      <c r="D12" s="6"/>
      <c r="E12" s="6"/>
      <c r="F12" s="6"/>
      <c r="G12" s="6"/>
      <c r="H12" s="7"/>
      <c r="I12" s="7"/>
      <c r="J12" s="7"/>
      <c r="K12" s="7"/>
      <c r="L12" s="7"/>
      <c r="M12" s="7"/>
      <c r="N12" s="5"/>
      <c r="O12" s="5"/>
      <c r="P12" s="5"/>
      <c r="Q12" s="5"/>
      <c r="R12" s="5"/>
      <c r="S12" s="5"/>
      <c r="T12" s="5"/>
      <c r="U12" s="5"/>
      <c r="V12" s="5"/>
      <c r="W12" s="38"/>
      <c r="X12" s="38"/>
    </row>
    <row r="13" spans="2:24" x14ac:dyDescent="0.25">
      <c r="B13" s="5"/>
      <c r="C13" s="6"/>
      <c r="D13" s="6"/>
      <c r="E13" s="6"/>
      <c r="F13" s="6"/>
      <c r="G13" s="6"/>
      <c r="H13" s="7"/>
      <c r="I13" s="7"/>
      <c r="J13" s="7"/>
      <c r="K13" s="7"/>
      <c r="L13" s="7"/>
      <c r="M13" s="7"/>
      <c r="N13" s="5"/>
      <c r="O13" s="5"/>
      <c r="P13" s="5"/>
      <c r="Q13" s="5"/>
      <c r="R13" s="5"/>
      <c r="S13" s="5"/>
      <c r="T13" s="5"/>
      <c r="U13" s="5"/>
      <c r="V13" s="5"/>
      <c r="W13" s="38"/>
      <c r="X13" s="38"/>
    </row>
    <row r="14" spans="2:24" ht="21" x14ac:dyDescent="0.4">
      <c r="B14" s="5"/>
      <c r="C14" s="6"/>
      <c r="D14" s="6"/>
      <c r="E14" s="19" t="s">
        <v>38</v>
      </c>
      <c r="F14" s="19"/>
      <c r="G14" s="19"/>
      <c r="H14" s="7"/>
      <c r="I14" s="7"/>
      <c r="J14" s="7"/>
      <c r="K14" s="7"/>
      <c r="L14" s="7"/>
      <c r="M14" s="7"/>
      <c r="N14" s="5"/>
      <c r="O14" s="5"/>
      <c r="P14" s="5"/>
      <c r="Q14" s="5"/>
      <c r="R14" s="5"/>
      <c r="S14" s="5"/>
      <c r="T14" s="5"/>
      <c r="U14" s="5"/>
      <c r="V14" s="5"/>
      <c r="W14" s="38"/>
      <c r="X14" s="38"/>
    </row>
    <row r="15" spans="2:24" ht="21" customHeight="1" x14ac:dyDescent="0.25">
      <c r="B15" s="5"/>
      <c r="C15" s="6"/>
      <c r="D15" s="6"/>
      <c r="E15" s="20"/>
      <c r="F15" s="20"/>
      <c r="G15" s="20"/>
      <c r="H15" s="7"/>
      <c r="I15" s="7"/>
      <c r="J15" s="7"/>
      <c r="K15" s="7"/>
      <c r="L15" s="7"/>
      <c r="M15" s="7"/>
      <c r="N15" s="5"/>
      <c r="O15" s="5"/>
      <c r="P15" s="5"/>
      <c r="Q15" s="5"/>
      <c r="R15" s="5"/>
      <c r="S15" s="5"/>
      <c r="T15" s="5"/>
      <c r="U15" s="5"/>
      <c r="V15" s="5"/>
      <c r="W15" s="38"/>
      <c r="X15" s="38"/>
    </row>
    <row r="16" spans="2:24" ht="21" customHeight="1" x14ac:dyDescent="0.25">
      <c r="B16" s="5"/>
      <c r="C16" s="6"/>
      <c r="D16" s="6"/>
      <c r="E16" s="21" t="s">
        <v>42</v>
      </c>
      <c r="F16" s="21"/>
      <c r="G16" s="21"/>
      <c r="H16" s="7"/>
      <c r="I16" s="7"/>
      <c r="J16" s="7"/>
      <c r="K16" s="7"/>
      <c r="L16" s="7"/>
      <c r="M16" s="7"/>
      <c r="N16" s="5"/>
      <c r="O16" s="5"/>
      <c r="P16" s="5"/>
      <c r="Q16" s="5"/>
      <c r="R16" s="5"/>
      <c r="S16" s="5"/>
      <c r="T16" s="5"/>
      <c r="U16" s="5"/>
      <c r="V16" s="5"/>
      <c r="W16" s="38"/>
      <c r="X16" s="38"/>
    </row>
    <row r="17" spans="2:24" ht="21" x14ac:dyDescent="0.25">
      <c r="B17" s="5"/>
      <c r="C17" s="6"/>
      <c r="D17" s="6"/>
      <c r="E17" s="89">
        <f>INDEX(H50:S50,COUNTA(H50:S50))</f>
        <v>-38459558.779999971</v>
      </c>
      <c r="F17" s="89"/>
      <c r="G17" s="89"/>
      <c r="H17" s="7"/>
      <c r="I17" s="7"/>
      <c r="J17" s="7"/>
      <c r="K17" s="7"/>
      <c r="L17" s="7"/>
      <c r="M17" s="7"/>
      <c r="N17" s="5"/>
      <c r="O17" s="5"/>
      <c r="P17" s="5"/>
      <c r="Q17" s="5"/>
      <c r="R17" s="5"/>
      <c r="S17" s="5"/>
      <c r="T17" s="5"/>
      <c r="U17" s="5"/>
      <c r="V17" s="5"/>
      <c r="W17" s="38"/>
      <c r="X17" s="38"/>
    </row>
    <row r="18" spans="2:24" ht="18.75" customHeight="1" x14ac:dyDescent="0.25">
      <c r="B18" s="5"/>
      <c r="C18" s="6"/>
      <c r="D18" s="6"/>
      <c r="E18" s="61"/>
      <c r="F18" s="61"/>
      <c r="G18" s="61"/>
      <c r="H18" s="7"/>
      <c r="I18" s="7"/>
      <c r="J18" s="7"/>
      <c r="K18" s="7"/>
      <c r="L18" s="7"/>
      <c r="M18" s="7"/>
      <c r="N18" s="5"/>
      <c r="O18" s="5"/>
      <c r="P18" s="5"/>
      <c r="Q18" s="5"/>
      <c r="R18" s="5"/>
      <c r="S18" s="5"/>
      <c r="T18" s="5"/>
      <c r="U18" s="5"/>
      <c r="V18" s="5"/>
      <c r="W18" s="38"/>
      <c r="X18" s="38"/>
    </row>
    <row r="19" spans="2:24" ht="17.25" customHeight="1" x14ac:dyDescent="0.25">
      <c r="B19" s="5"/>
      <c r="C19" s="6"/>
      <c r="D19" s="6"/>
      <c r="E19" s="22" t="s">
        <v>39</v>
      </c>
      <c r="F19" s="22"/>
      <c r="G19" s="22"/>
      <c r="H19" s="7"/>
      <c r="I19" s="7"/>
      <c r="J19" s="7"/>
      <c r="K19" s="7"/>
      <c r="L19" s="7"/>
      <c r="M19" s="7"/>
      <c r="N19" s="5"/>
      <c r="O19" s="5"/>
      <c r="P19" s="5"/>
      <c r="Q19" s="5"/>
      <c r="R19" s="49"/>
      <c r="S19" s="49"/>
      <c r="T19" s="49"/>
      <c r="U19" s="49"/>
      <c r="V19" s="5"/>
      <c r="W19" s="38"/>
      <c r="X19" s="38"/>
    </row>
    <row r="20" spans="2:24" ht="33.75" customHeight="1" x14ac:dyDescent="0.25">
      <c r="B20" s="5"/>
      <c r="C20" s="6"/>
      <c r="D20" s="6"/>
      <c r="E20" s="89">
        <f>INDEX(H51:S51,COUNTA(H51:S51))</f>
        <v>171422933.6400001</v>
      </c>
      <c r="F20" s="89"/>
      <c r="G20" s="89"/>
      <c r="H20" s="7"/>
      <c r="I20" s="7"/>
      <c r="J20" s="7"/>
      <c r="K20" s="7"/>
      <c r="L20" s="7"/>
      <c r="M20" s="7"/>
      <c r="N20" s="5"/>
      <c r="O20" s="5"/>
      <c r="P20" s="5"/>
      <c r="Q20" s="5"/>
      <c r="R20" s="66" t="s">
        <v>52</v>
      </c>
      <c r="S20" s="49"/>
      <c r="T20" s="51">
        <f>U44</f>
        <v>0.97041531099653644</v>
      </c>
      <c r="U20" s="49"/>
      <c r="V20" s="5"/>
      <c r="W20" s="38"/>
      <c r="X20" s="38"/>
    </row>
    <row r="21" spans="2:24" ht="11.25" customHeight="1" x14ac:dyDescent="0.25">
      <c r="B21" s="5"/>
      <c r="C21" s="6"/>
      <c r="D21" s="6"/>
      <c r="E21" s="23"/>
      <c r="F21" s="23"/>
      <c r="G21" s="23"/>
      <c r="H21" s="7"/>
      <c r="I21" s="7"/>
      <c r="J21" s="7"/>
      <c r="K21" s="7"/>
      <c r="L21" s="7"/>
      <c r="M21" s="7"/>
      <c r="N21" s="5"/>
      <c r="O21" s="5"/>
      <c r="P21" s="5"/>
      <c r="Q21" s="5"/>
      <c r="R21" s="5"/>
      <c r="S21" s="5"/>
      <c r="T21" s="5"/>
      <c r="U21" s="5"/>
      <c r="V21" s="5"/>
      <c r="W21" s="38"/>
      <c r="X21" s="38"/>
    </row>
    <row r="22" spans="2:24" ht="21" x14ac:dyDescent="0.25">
      <c r="B22" s="5"/>
      <c r="C22" s="6"/>
      <c r="D22" s="6"/>
      <c r="E22" s="92" t="s">
        <v>63</v>
      </c>
      <c r="F22" s="92"/>
      <c r="G22" s="92"/>
      <c r="H22" s="7"/>
      <c r="I22" s="7"/>
      <c r="J22" s="7"/>
      <c r="K22" s="7"/>
      <c r="L22" s="7"/>
      <c r="M22" s="7"/>
      <c r="N22" s="5"/>
      <c r="O22" s="5"/>
      <c r="P22" s="5"/>
      <c r="Q22" s="5"/>
      <c r="R22" s="5"/>
      <c r="S22" s="5"/>
      <c r="T22" s="5"/>
      <c r="U22" s="5"/>
      <c r="V22" s="5"/>
      <c r="W22" s="38"/>
      <c r="X22" s="38"/>
    </row>
    <row r="23" spans="2:24" ht="18.75" customHeight="1" x14ac:dyDescent="0.25">
      <c r="B23" s="5"/>
      <c r="C23" s="6"/>
      <c r="D23" s="6"/>
      <c r="E23" s="91">
        <f>T46/T47</f>
        <v>0.21439656069260379</v>
      </c>
      <c r="F23" s="91"/>
      <c r="G23" s="91"/>
      <c r="H23" s="7"/>
      <c r="I23" s="7"/>
      <c r="J23" s="7"/>
      <c r="K23" s="7"/>
      <c r="L23" s="7"/>
      <c r="M23" s="7"/>
      <c r="N23" s="5"/>
      <c r="O23" s="5"/>
      <c r="P23" s="5"/>
      <c r="Q23" s="5"/>
      <c r="R23" s="5"/>
      <c r="S23" s="5"/>
      <c r="T23" s="5"/>
      <c r="U23" s="5"/>
      <c r="V23" s="5"/>
      <c r="W23" s="38"/>
      <c r="X23" s="38"/>
    </row>
    <row r="24" spans="2:24" ht="18.75" customHeight="1" x14ac:dyDescent="0.25">
      <c r="B24" s="5"/>
      <c r="C24" s="6"/>
      <c r="D24" s="6"/>
      <c r="E24" s="68"/>
      <c r="F24" s="68"/>
      <c r="G24" s="68"/>
      <c r="H24" s="7"/>
      <c r="I24" s="7"/>
      <c r="J24" s="7"/>
      <c r="K24" s="7"/>
      <c r="L24" s="7"/>
      <c r="M24" s="7"/>
      <c r="N24" s="5"/>
      <c r="O24" s="5"/>
      <c r="P24" s="5"/>
      <c r="Q24" s="5"/>
      <c r="R24" s="5"/>
      <c r="S24" s="5"/>
      <c r="T24" s="5"/>
      <c r="U24" s="5"/>
      <c r="V24" s="5"/>
      <c r="W24" s="38"/>
      <c r="X24" s="38"/>
    </row>
    <row r="25" spans="2:24" ht="21" customHeight="1" x14ac:dyDescent="0.25">
      <c r="B25" s="5"/>
      <c r="C25" s="6"/>
      <c r="D25" s="6"/>
      <c r="E25" s="21" t="s">
        <v>40</v>
      </c>
      <c r="F25" s="21"/>
      <c r="G25" s="21"/>
      <c r="H25" s="7"/>
      <c r="I25" s="7"/>
      <c r="J25" s="7"/>
      <c r="K25" s="7"/>
      <c r="L25" s="7"/>
      <c r="M25" s="7"/>
      <c r="N25" s="5"/>
      <c r="O25" s="5"/>
      <c r="P25" s="5"/>
      <c r="Q25" s="5"/>
      <c r="R25" s="5"/>
      <c r="S25" s="5"/>
      <c r="T25" s="5"/>
      <c r="U25" s="5"/>
      <c r="V25" s="5"/>
      <c r="W25" s="38"/>
      <c r="X25" s="38"/>
    </row>
    <row r="26" spans="2:24" ht="8.25" customHeight="1" x14ac:dyDescent="0.25">
      <c r="B26" s="5"/>
      <c r="C26" s="6"/>
      <c r="D26" s="6"/>
      <c r="E26" s="21"/>
      <c r="F26" s="21"/>
      <c r="G26" s="21"/>
      <c r="H26" s="7"/>
      <c r="I26" s="7"/>
      <c r="J26" s="7"/>
      <c r="K26" s="7"/>
      <c r="L26" s="7"/>
      <c r="M26" s="7"/>
      <c r="N26" s="5"/>
      <c r="O26" s="5"/>
      <c r="P26" s="5"/>
      <c r="Q26" s="5"/>
      <c r="R26" s="5"/>
      <c r="S26" s="5"/>
      <c r="T26" s="5"/>
      <c r="U26" s="5"/>
      <c r="V26" s="5"/>
      <c r="W26" s="38"/>
      <c r="X26" s="38"/>
    </row>
    <row r="27" spans="2:24" ht="12.75" customHeight="1" x14ac:dyDescent="0.25">
      <c r="B27" s="5"/>
      <c r="C27" s="6"/>
      <c r="D27" s="6"/>
      <c r="E27" s="90">
        <f>T44/T47</f>
        <v>0.96179640067236383</v>
      </c>
      <c r="F27" s="90"/>
      <c r="G27" s="90"/>
      <c r="H27" s="7"/>
      <c r="I27" s="7"/>
      <c r="J27" s="7"/>
      <c r="K27" s="7"/>
      <c r="L27" s="7"/>
      <c r="M27" s="7"/>
      <c r="N27" s="5"/>
      <c r="O27" s="5"/>
      <c r="P27" s="5"/>
      <c r="Q27" s="5"/>
      <c r="R27" s="5"/>
      <c r="S27" s="5"/>
      <c r="T27" s="5"/>
      <c r="U27" s="5"/>
      <c r="V27" s="5"/>
      <c r="W27" s="38"/>
      <c r="X27" s="38"/>
    </row>
    <row r="28" spans="2:24" ht="21" x14ac:dyDescent="0.25">
      <c r="B28" s="5"/>
      <c r="C28" s="6"/>
      <c r="D28" s="6"/>
      <c r="E28" s="69"/>
      <c r="F28" s="69"/>
      <c r="G28" s="69"/>
      <c r="H28" s="7"/>
      <c r="I28" s="7"/>
      <c r="J28" s="7"/>
      <c r="K28" s="7"/>
      <c r="L28" s="7"/>
      <c r="M28" s="7"/>
      <c r="N28" s="5"/>
      <c r="O28" s="5"/>
      <c r="P28" s="5"/>
      <c r="Q28" s="5"/>
      <c r="R28" s="5"/>
      <c r="S28" s="5"/>
      <c r="T28" s="5"/>
      <c r="U28" s="5"/>
      <c r="V28" s="5"/>
      <c r="W28" s="38"/>
      <c r="X28" s="38"/>
    </row>
    <row r="29" spans="2:24" ht="17.25" customHeight="1" x14ac:dyDescent="0.25">
      <c r="B29" s="5"/>
      <c r="C29" s="6"/>
      <c r="D29" s="6"/>
      <c r="E29" s="21" t="s">
        <v>60</v>
      </c>
      <c r="F29" s="69"/>
      <c r="G29" s="69"/>
      <c r="H29" s="7"/>
      <c r="I29" s="7"/>
      <c r="J29" s="7"/>
      <c r="K29" s="7"/>
      <c r="L29" s="7"/>
      <c r="M29" s="7"/>
      <c r="N29" s="5"/>
      <c r="O29" s="5"/>
      <c r="P29" s="5"/>
      <c r="Q29" s="5"/>
      <c r="R29" s="5"/>
      <c r="S29" s="5"/>
      <c r="T29" s="5"/>
      <c r="U29" s="5"/>
      <c r="V29" s="5"/>
      <c r="W29" s="38"/>
      <c r="X29" s="38"/>
    </row>
    <row r="30" spans="2:24" ht="12.75" customHeight="1" x14ac:dyDescent="0.25">
      <c r="B30" s="5"/>
      <c r="C30" s="6"/>
      <c r="D30" s="6"/>
      <c r="E30" s="6"/>
      <c r="F30" s="21"/>
      <c r="G30" s="21"/>
      <c r="H30" s="7"/>
      <c r="I30" s="7"/>
      <c r="J30" s="7"/>
      <c r="K30" s="7"/>
      <c r="L30" s="7"/>
      <c r="M30" s="7"/>
      <c r="N30" s="5"/>
      <c r="O30" s="5"/>
      <c r="P30" s="5"/>
      <c r="Q30" s="5"/>
      <c r="R30" s="5"/>
      <c r="S30" s="5"/>
      <c r="T30" s="5"/>
      <c r="U30" s="5"/>
      <c r="V30" s="5"/>
      <c r="W30" s="38"/>
      <c r="X30" s="38"/>
    </row>
    <row r="31" spans="2:24" ht="12.75" customHeight="1" x14ac:dyDescent="0.25">
      <c r="B31" s="5"/>
      <c r="C31" s="6"/>
      <c r="D31" s="6"/>
      <c r="E31" s="87">
        <f>T50/T49</f>
        <v>-3.9966710627784986E-2</v>
      </c>
      <c r="F31" s="87"/>
      <c r="G31" s="87"/>
      <c r="H31" s="7"/>
      <c r="I31" s="7"/>
      <c r="J31" s="7"/>
      <c r="K31" s="7"/>
      <c r="L31" s="7"/>
      <c r="M31" s="7"/>
      <c r="N31" s="5"/>
      <c r="O31" s="5"/>
      <c r="P31" s="5"/>
      <c r="Q31" s="5"/>
      <c r="R31" s="5"/>
      <c r="S31" s="5"/>
      <c r="T31" s="5"/>
      <c r="U31" s="5"/>
      <c r="V31" s="5"/>
      <c r="W31" s="38"/>
      <c r="X31" s="38"/>
    </row>
    <row r="32" spans="2:24" ht="12.75" customHeight="1" x14ac:dyDescent="0.25">
      <c r="B32" s="5"/>
      <c r="C32" s="6"/>
      <c r="D32" s="6"/>
      <c r="E32" s="6"/>
      <c r="F32" s="6"/>
      <c r="G32" s="6"/>
      <c r="H32" s="7"/>
      <c r="I32" s="7"/>
      <c r="J32" s="7"/>
      <c r="K32" s="7"/>
      <c r="L32" s="7"/>
      <c r="M32" s="7"/>
      <c r="N32" s="5"/>
      <c r="O32" s="5"/>
      <c r="P32" s="5"/>
      <c r="Q32" s="5"/>
      <c r="R32" s="5"/>
      <c r="S32" s="5"/>
      <c r="T32" s="5"/>
      <c r="U32" s="5"/>
      <c r="V32" s="5"/>
      <c r="W32" s="38"/>
      <c r="X32" s="38"/>
    </row>
    <row r="33" spans="2:25" ht="19.5" customHeight="1" x14ac:dyDescent="0.25">
      <c r="B33" s="5"/>
      <c r="C33" s="6"/>
      <c r="D33" s="6"/>
      <c r="E33" s="71" t="s">
        <v>61</v>
      </c>
      <c r="F33" s="47"/>
      <c r="G33" s="48"/>
      <c r="H33" s="7"/>
      <c r="I33" s="7"/>
      <c r="J33" s="7"/>
      <c r="K33" s="7"/>
      <c r="L33" s="7"/>
      <c r="M33" s="7"/>
      <c r="N33" s="5"/>
      <c r="O33" s="5"/>
      <c r="P33" s="5"/>
      <c r="Q33" s="5"/>
      <c r="R33" s="5"/>
      <c r="S33" s="5"/>
      <c r="T33" s="5"/>
      <c r="U33" s="5"/>
      <c r="V33" s="5"/>
      <c r="W33" s="38"/>
      <c r="X33" s="38"/>
    </row>
    <row r="34" spans="2:25" ht="3" customHeight="1" x14ac:dyDescent="0.25">
      <c r="B34" s="5"/>
      <c r="C34" s="6"/>
      <c r="D34" s="6"/>
      <c r="E34" s="6"/>
      <c r="F34" s="6"/>
      <c r="G34" s="6"/>
      <c r="H34" s="7"/>
      <c r="I34" s="7"/>
      <c r="J34" s="7"/>
      <c r="K34" s="7"/>
      <c r="L34" s="7"/>
      <c r="M34" s="7"/>
      <c r="N34" s="5"/>
      <c r="O34" s="5"/>
      <c r="P34" s="5"/>
      <c r="Q34" s="5"/>
      <c r="R34" s="5"/>
      <c r="S34" s="5"/>
      <c r="T34" s="5"/>
      <c r="U34" s="5"/>
      <c r="V34" s="5"/>
      <c r="W34" s="38"/>
      <c r="X34" s="38"/>
    </row>
    <row r="35" spans="2:25" ht="23.25" customHeight="1" x14ac:dyDescent="0.25">
      <c r="B35" s="5"/>
      <c r="C35" s="6"/>
      <c r="D35" s="6"/>
      <c r="E35" s="88">
        <f>T60/(T59+T61)</f>
        <v>0.40920366501156658</v>
      </c>
      <c r="F35" s="88"/>
      <c r="G35" s="88"/>
      <c r="H35" s="7"/>
      <c r="I35" s="7"/>
      <c r="J35" s="7"/>
      <c r="K35" s="7"/>
      <c r="L35" s="7"/>
      <c r="M35" s="7"/>
      <c r="N35" s="5"/>
      <c r="O35" s="5"/>
      <c r="P35" s="5"/>
      <c r="Q35" s="5"/>
      <c r="R35" s="52" t="s">
        <v>64</v>
      </c>
      <c r="S35" s="50"/>
      <c r="T35" s="51">
        <f>U47</f>
        <v>0.80857174337389937</v>
      </c>
      <c r="U35" s="5"/>
      <c r="V35" s="5"/>
      <c r="W35" s="38"/>
      <c r="X35" s="38"/>
    </row>
    <row r="36" spans="2:25" ht="6" hidden="1" customHeight="1" x14ac:dyDescent="0.25">
      <c r="B36" s="5"/>
      <c r="C36" s="6"/>
      <c r="D36" s="6"/>
      <c r="E36" s="6"/>
      <c r="F36" s="6"/>
      <c r="G36" s="6"/>
      <c r="H36" s="7"/>
      <c r="I36" s="7"/>
      <c r="J36" s="7"/>
      <c r="K36" s="7"/>
      <c r="L36" s="7"/>
      <c r="M36" s="7"/>
      <c r="N36" s="5"/>
      <c r="O36" s="5"/>
      <c r="P36" s="5"/>
      <c r="Q36" s="5"/>
      <c r="R36" s="5"/>
      <c r="S36" s="5"/>
      <c r="T36" s="5"/>
      <c r="U36" s="5"/>
      <c r="V36" s="5"/>
      <c r="W36" s="38"/>
      <c r="X36" s="38"/>
    </row>
    <row r="37" spans="2:25" ht="18" x14ac:dyDescent="0.25">
      <c r="B37" s="5"/>
      <c r="C37" s="6"/>
      <c r="D37" s="6"/>
      <c r="E37" s="6"/>
      <c r="F37" s="6"/>
      <c r="G37" s="6"/>
      <c r="H37" s="7"/>
      <c r="I37" s="7"/>
      <c r="J37" s="7"/>
      <c r="K37" s="7"/>
      <c r="L37" s="7"/>
      <c r="M37" s="7"/>
      <c r="N37" s="5"/>
      <c r="O37" s="5"/>
      <c r="P37" s="5"/>
      <c r="Q37" s="5"/>
      <c r="R37" s="5"/>
      <c r="S37" s="5"/>
      <c r="T37" s="5"/>
      <c r="U37" s="49"/>
      <c r="V37" s="5"/>
      <c r="W37" s="38"/>
      <c r="X37" s="38"/>
    </row>
    <row r="38" spans="2:25" ht="40.5" customHeight="1" x14ac:dyDescent="0.25">
      <c r="B38" s="5"/>
      <c r="C38" s="8" t="s">
        <v>0</v>
      </c>
      <c r="D38" s="8" t="s">
        <v>1</v>
      </c>
      <c r="E38" s="14" t="s">
        <v>2</v>
      </c>
      <c r="F38" s="14" t="s">
        <v>57</v>
      </c>
      <c r="G38" s="14" t="s">
        <v>58</v>
      </c>
      <c r="H38" s="15" t="s">
        <v>23</v>
      </c>
      <c r="I38" s="15" t="s">
        <v>24</v>
      </c>
      <c r="J38" s="15" t="s">
        <v>25</v>
      </c>
      <c r="K38" s="15" t="s">
        <v>26</v>
      </c>
      <c r="L38" s="15" t="s">
        <v>27</v>
      </c>
      <c r="M38" s="15" t="s">
        <v>28</v>
      </c>
      <c r="N38" s="15" t="s">
        <v>29</v>
      </c>
      <c r="O38" s="15" t="s">
        <v>30</v>
      </c>
      <c r="P38" s="15" t="s">
        <v>31</v>
      </c>
      <c r="Q38" s="15" t="s">
        <v>32</v>
      </c>
      <c r="R38" s="15" t="s">
        <v>33</v>
      </c>
      <c r="S38" s="15" t="s">
        <v>34</v>
      </c>
      <c r="T38" s="15" t="s">
        <v>35</v>
      </c>
      <c r="U38" s="15" t="s">
        <v>41</v>
      </c>
      <c r="V38" s="5"/>
      <c r="W38" s="65" t="s">
        <v>56</v>
      </c>
      <c r="X38" s="38"/>
    </row>
    <row r="39" spans="2:25" ht="19.5" customHeight="1" x14ac:dyDescent="0.25">
      <c r="B39" s="5"/>
      <c r="C39" s="9" t="s">
        <v>3</v>
      </c>
      <c r="D39" s="9" t="s">
        <v>4</v>
      </c>
      <c r="E39" s="31" t="s">
        <v>5</v>
      </c>
      <c r="F39" s="30">
        <v>700390000</v>
      </c>
      <c r="G39" s="60">
        <v>720225000</v>
      </c>
      <c r="H39" s="60">
        <v>49050897.850000001</v>
      </c>
      <c r="I39" s="16">
        <v>98876991.469999999</v>
      </c>
      <c r="J39" s="60">
        <v>168933516.36000001</v>
      </c>
      <c r="K39" s="60">
        <v>206174327.74000001</v>
      </c>
      <c r="L39" s="16">
        <v>254573106.96000001</v>
      </c>
      <c r="M39" s="60">
        <v>366575387.30000001</v>
      </c>
      <c r="N39" s="16">
        <v>437530592.92000002</v>
      </c>
      <c r="O39" s="16">
        <v>486848264.30000001</v>
      </c>
      <c r="P39" s="76">
        <v>536960604.27999997</v>
      </c>
      <c r="Q39" s="60">
        <v>583976269</v>
      </c>
      <c r="R39" s="60">
        <v>635533722.45000005</v>
      </c>
      <c r="S39" s="16">
        <v>722802908.28999996</v>
      </c>
      <c r="T39" s="17">
        <f t="shared" ref="T39:T44" si="0">INDEX(H39:S39,COUNTA(H39:S39))</f>
        <v>722802908.28999996</v>
      </c>
      <c r="U39" s="53">
        <f>T39/G39</f>
        <v>1.0035793096462911</v>
      </c>
      <c r="V39" s="5"/>
      <c r="W39" s="64"/>
      <c r="X39" s="38"/>
      <c r="Y39" s="46">
        <f>S39-R39</f>
        <v>87269185.839999914</v>
      </c>
    </row>
    <row r="40" spans="2:25" ht="19.5" customHeight="1" x14ac:dyDescent="0.25">
      <c r="B40" s="5"/>
      <c r="C40" s="9" t="s">
        <v>3</v>
      </c>
      <c r="D40" s="9" t="s">
        <v>6</v>
      </c>
      <c r="E40" s="31" t="s">
        <v>7</v>
      </c>
      <c r="F40" s="30">
        <v>108662000</v>
      </c>
      <c r="G40" s="60">
        <v>126790000</v>
      </c>
      <c r="H40" s="60">
        <v>5654777.6200000001</v>
      </c>
      <c r="I40" s="16">
        <v>14952658.65</v>
      </c>
      <c r="J40" s="60">
        <v>25500091.91</v>
      </c>
      <c r="K40" s="60">
        <v>40048381.119999997</v>
      </c>
      <c r="L40" s="16">
        <v>46456295.299999997</v>
      </c>
      <c r="M40" s="60">
        <v>54106596.210000001</v>
      </c>
      <c r="N40" s="16">
        <v>59480137.479999997</v>
      </c>
      <c r="O40" s="60">
        <v>68301211.560000002</v>
      </c>
      <c r="P40" s="79">
        <v>74876075.849999994</v>
      </c>
      <c r="Q40" s="60">
        <v>82567753.670000002</v>
      </c>
      <c r="R40" s="60">
        <v>87037993.609999999</v>
      </c>
      <c r="S40" s="16">
        <v>97010308.530000001</v>
      </c>
      <c r="T40" s="17">
        <f t="shared" si="0"/>
        <v>97010308.530000001</v>
      </c>
      <c r="U40" s="53">
        <f t="shared" ref="U40:U53" si="1">T40/G40</f>
        <v>0.76512586584115472</v>
      </c>
      <c r="V40" s="5"/>
      <c r="W40" s="64"/>
      <c r="X40" s="38"/>
      <c r="Y40" s="46">
        <f t="shared" ref="Y40:Y54" si="2">S40-R40</f>
        <v>9972314.9200000018</v>
      </c>
    </row>
    <row r="41" spans="2:25" ht="19.5" customHeight="1" x14ac:dyDescent="0.25">
      <c r="B41" s="5"/>
      <c r="C41" s="9" t="s">
        <v>11</v>
      </c>
      <c r="D41" s="9" t="s">
        <v>12</v>
      </c>
      <c r="E41" s="31" t="s">
        <v>13</v>
      </c>
      <c r="F41" s="30">
        <v>6000000</v>
      </c>
      <c r="G41" s="60">
        <v>7239000</v>
      </c>
      <c r="H41" s="60">
        <v>67544</v>
      </c>
      <c r="I41" s="16">
        <v>219553</v>
      </c>
      <c r="J41" s="60">
        <v>1564657.12</v>
      </c>
      <c r="K41" s="60">
        <v>1602415.02</v>
      </c>
      <c r="L41" s="16">
        <v>1621138.02</v>
      </c>
      <c r="M41" s="60">
        <v>2422479.02</v>
      </c>
      <c r="N41" s="16">
        <v>2512400.2200000002</v>
      </c>
      <c r="O41" s="60">
        <v>2578136.56</v>
      </c>
      <c r="P41" s="79">
        <v>2677660.46</v>
      </c>
      <c r="Q41" s="60">
        <v>3762462.56</v>
      </c>
      <c r="R41" s="60">
        <v>3782122.06</v>
      </c>
      <c r="S41" s="16">
        <v>4314257.0599999996</v>
      </c>
      <c r="T41" s="17">
        <f t="shared" si="0"/>
        <v>4314257.0599999996</v>
      </c>
      <c r="U41" s="53">
        <f t="shared" si="1"/>
        <v>0.59597417599115898</v>
      </c>
      <c r="V41" s="5"/>
      <c r="W41" s="64"/>
      <c r="X41" s="38"/>
      <c r="Y41" s="46">
        <f t="shared" si="2"/>
        <v>532134.99999999953</v>
      </c>
    </row>
    <row r="42" spans="2:25" ht="19.5" customHeight="1" x14ac:dyDescent="0.25">
      <c r="B42" s="5"/>
      <c r="C42" s="9" t="s">
        <v>3</v>
      </c>
      <c r="D42" s="9" t="s">
        <v>8</v>
      </c>
      <c r="E42" s="31" t="s">
        <v>36</v>
      </c>
      <c r="F42" s="30">
        <v>63824000</v>
      </c>
      <c r="G42" s="60">
        <v>141867700</v>
      </c>
      <c r="H42" s="60">
        <v>3896233</v>
      </c>
      <c r="I42" s="16">
        <v>7920022.2000000002</v>
      </c>
      <c r="J42" s="60">
        <v>34396511.200000003</v>
      </c>
      <c r="K42" s="60">
        <v>42270881.399999999</v>
      </c>
      <c r="L42" s="16">
        <v>63080081.149999999</v>
      </c>
      <c r="M42" s="60">
        <v>77447012.150000006</v>
      </c>
      <c r="N42" s="16">
        <v>83907503.140000001</v>
      </c>
      <c r="O42" s="58">
        <v>96517856.140000001</v>
      </c>
      <c r="P42" s="79">
        <v>106801442.38</v>
      </c>
      <c r="Q42" s="60">
        <v>114606915.63</v>
      </c>
      <c r="R42" s="16">
        <v>125436623.87</v>
      </c>
      <c r="S42" s="76">
        <v>142476603.28</v>
      </c>
      <c r="T42" s="17">
        <f t="shared" si="0"/>
        <v>142476603.28</v>
      </c>
      <c r="U42" s="53">
        <f t="shared" si="1"/>
        <v>1.0042920501283943</v>
      </c>
      <c r="V42" s="5"/>
      <c r="W42" s="64"/>
      <c r="X42" s="38"/>
      <c r="Y42" s="46">
        <f t="shared" si="2"/>
        <v>17039979.409999996</v>
      </c>
    </row>
    <row r="43" spans="2:25" ht="19.5" customHeight="1" x14ac:dyDescent="0.25">
      <c r="B43" s="5"/>
      <c r="C43" s="9" t="s">
        <v>11</v>
      </c>
      <c r="D43" s="9" t="s">
        <v>8</v>
      </c>
      <c r="E43" s="31" t="s">
        <v>37</v>
      </c>
      <c r="F43" s="30">
        <v>0</v>
      </c>
      <c r="G43" s="60">
        <v>1637000</v>
      </c>
      <c r="H43" s="60">
        <v>0</v>
      </c>
      <c r="I43" s="60">
        <v>0</v>
      </c>
      <c r="J43" s="60">
        <v>0</v>
      </c>
      <c r="K43" s="60">
        <v>0</v>
      </c>
      <c r="L43" s="16">
        <v>248900</v>
      </c>
      <c r="M43" s="60">
        <v>248900</v>
      </c>
      <c r="N43" s="60">
        <v>248900</v>
      </c>
      <c r="O43" s="58">
        <v>248900</v>
      </c>
      <c r="P43" s="79">
        <v>248900</v>
      </c>
      <c r="Q43" s="60">
        <v>248900</v>
      </c>
      <c r="R43" s="16">
        <v>548900</v>
      </c>
      <c r="S43" s="16">
        <v>1636242</v>
      </c>
      <c r="T43" s="17">
        <f t="shared" si="0"/>
        <v>1636242</v>
      </c>
      <c r="U43" s="53" t="s">
        <v>43</v>
      </c>
      <c r="V43" s="5"/>
      <c r="W43" s="64"/>
      <c r="X43" s="38"/>
      <c r="Y43" s="46">
        <f t="shared" si="2"/>
        <v>1087342</v>
      </c>
    </row>
    <row r="44" spans="2:25" s="2" customFormat="1" ht="19.5" customHeight="1" x14ac:dyDescent="0.25">
      <c r="B44" s="10"/>
      <c r="C44" s="11"/>
      <c r="D44" s="11"/>
      <c r="E44" s="32" t="s">
        <v>20</v>
      </c>
      <c r="F44" s="18">
        <f t="shared" ref="F44:S44" si="3">SUM(F39:F43)</f>
        <v>878876000</v>
      </c>
      <c r="G44" s="18">
        <f t="shared" si="3"/>
        <v>997758700</v>
      </c>
      <c r="H44" s="18">
        <f t="shared" si="3"/>
        <v>58669452.469999999</v>
      </c>
      <c r="I44" s="18">
        <f t="shared" si="3"/>
        <v>121969225.32000001</v>
      </c>
      <c r="J44" s="18">
        <f t="shared" si="3"/>
        <v>230394776.59000003</v>
      </c>
      <c r="K44" s="18">
        <f t="shared" si="3"/>
        <v>290096005.28000003</v>
      </c>
      <c r="L44" s="18">
        <f t="shared" si="3"/>
        <v>365979521.42999995</v>
      </c>
      <c r="M44" s="18">
        <f t="shared" si="3"/>
        <v>500800374.67999995</v>
      </c>
      <c r="N44" s="18">
        <f t="shared" si="3"/>
        <v>583679533.76000011</v>
      </c>
      <c r="O44" s="18">
        <f t="shared" si="3"/>
        <v>654494368.55999994</v>
      </c>
      <c r="P44" s="80">
        <f t="shared" si="3"/>
        <v>721564682.97000003</v>
      </c>
      <c r="Q44" s="18">
        <f t="shared" si="3"/>
        <v>785162300.8599999</v>
      </c>
      <c r="R44" s="18">
        <f t="shared" si="3"/>
        <v>852339361.99000001</v>
      </c>
      <c r="S44" s="18">
        <f t="shared" si="3"/>
        <v>968240319.15999985</v>
      </c>
      <c r="T44" s="85">
        <f t="shared" si="0"/>
        <v>968240319.15999985</v>
      </c>
      <c r="U44" s="54">
        <f t="shared" si="1"/>
        <v>0.97041531099653644</v>
      </c>
      <c r="V44" s="10"/>
      <c r="W44" s="64"/>
      <c r="X44" s="62"/>
      <c r="Y44" s="46">
        <f t="shared" si="2"/>
        <v>115900957.16999984</v>
      </c>
    </row>
    <row r="45" spans="2:25" ht="19.5" customHeight="1" x14ac:dyDescent="0.25">
      <c r="B45" s="5"/>
      <c r="C45" s="9" t="s">
        <v>3</v>
      </c>
      <c r="D45" s="9" t="s">
        <v>9</v>
      </c>
      <c r="E45" s="31" t="s">
        <v>10</v>
      </c>
      <c r="F45" s="30">
        <v>755831000</v>
      </c>
      <c r="G45" s="60">
        <v>933762700</v>
      </c>
      <c r="H45" s="60">
        <v>37308413.350000001</v>
      </c>
      <c r="I45" s="16">
        <v>94867211.859999999</v>
      </c>
      <c r="J45" s="60">
        <v>165602463.41999999</v>
      </c>
      <c r="K45" s="60">
        <v>235126769.44</v>
      </c>
      <c r="L45" s="16">
        <v>295043288.07999998</v>
      </c>
      <c r="M45" s="60">
        <v>370168108.32999998</v>
      </c>
      <c r="N45" s="58">
        <f>1622370329.89-1158168145.08-37935142.42</f>
        <v>426267042.39000016</v>
      </c>
      <c r="O45" s="58">
        <v>480693831.16000003</v>
      </c>
      <c r="P45" s="79">
        <v>546257870.23000002</v>
      </c>
      <c r="Q45" s="60">
        <v>605074252.44000006</v>
      </c>
      <c r="R45" s="60">
        <f>2417797063.72-1741309088.01</f>
        <v>676487975.7099998</v>
      </c>
      <c r="S45" s="16">
        <f>2998617331.14-1991917453.2-215832991.48</f>
        <v>790866886.4599998</v>
      </c>
      <c r="T45" s="17">
        <f t="shared" ref="T45:T47" si="4">INDEX(H45:S45,COUNTA(H45:S45))</f>
        <v>790866886.4599998</v>
      </c>
      <c r="U45" s="53">
        <f t="shared" si="1"/>
        <v>0.84696774293939969</v>
      </c>
      <c r="V45" s="5"/>
      <c r="W45" s="64"/>
      <c r="X45" s="38"/>
      <c r="Y45" s="46">
        <f t="shared" si="2"/>
        <v>114378910.75</v>
      </c>
    </row>
    <row r="46" spans="2:25" ht="19.5" customHeight="1" x14ac:dyDescent="0.25">
      <c r="B46" s="5"/>
      <c r="C46" s="9" t="s">
        <v>11</v>
      </c>
      <c r="D46" s="9" t="s">
        <v>14</v>
      </c>
      <c r="E46" s="31" t="s">
        <v>15</v>
      </c>
      <c r="F46" s="30">
        <v>271714000</v>
      </c>
      <c r="G46" s="60">
        <v>311272000</v>
      </c>
      <c r="H46" s="60">
        <v>1900783.99</v>
      </c>
      <c r="I46" s="16">
        <v>6966823.4400000004</v>
      </c>
      <c r="J46" s="60">
        <v>8458635.9000000004</v>
      </c>
      <c r="K46" s="60">
        <v>18819038.75</v>
      </c>
      <c r="L46" s="16">
        <v>22638768.989999998</v>
      </c>
      <c r="M46" s="60">
        <v>28159923.98</v>
      </c>
      <c r="N46" s="73">
        <v>37935142.420000002</v>
      </c>
      <c r="O46" s="60">
        <v>44639959.890000001</v>
      </c>
      <c r="P46" s="79">
        <v>84219061.310000002</v>
      </c>
      <c r="Q46" s="60">
        <v>101150727.45999999</v>
      </c>
      <c r="R46" s="75">
        <v>138525540.31999999</v>
      </c>
      <c r="S46" s="16">
        <v>215832991.47999999</v>
      </c>
      <c r="T46" s="17">
        <f t="shared" si="4"/>
        <v>215832991.47999999</v>
      </c>
      <c r="U46" s="53">
        <f t="shared" si="1"/>
        <v>0.69339031933485817</v>
      </c>
      <c r="V46" s="5"/>
      <c r="W46" s="64"/>
      <c r="X46" s="38"/>
      <c r="Y46" s="46">
        <f t="shared" si="2"/>
        <v>77307451.159999996</v>
      </c>
    </row>
    <row r="47" spans="2:25" s="2" customFormat="1" ht="19.5" customHeight="1" x14ac:dyDescent="0.25">
      <c r="B47" s="10"/>
      <c r="C47" s="11"/>
      <c r="D47" s="11"/>
      <c r="E47" s="32" t="s">
        <v>21</v>
      </c>
      <c r="F47" s="18">
        <f>SUM(F45:F46)</f>
        <v>1027545000</v>
      </c>
      <c r="G47" s="18">
        <f>SUM(G45:G46)</f>
        <v>1245034700</v>
      </c>
      <c r="H47" s="18">
        <f>SUM(H45:H46)</f>
        <v>39209197.340000004</v>
      </c>
      <c r="I47" s="18">
        <f t="shared" ref="I47:R47" si="5">SUM(I45:I46)</f>
        <v>101834035.3</v>
      </c>
      <c r="J47" s="18">
        <f t="shared" si="5"/>
        <v>174061099.31999999</v>
      </c>
      <c r="K47" s="18">
        <f t="shared" si="5"/>
        <v>253945808.19</v>
      </c>
      <c r="L47" s="18">
        <f t="shared" si="5"/>
        <v>317682057.06999999</v>
      </c>
      <c r="M47" s="18">
        <f t="shared" si="5"/>
        <v>398328032.31</v>
      </c>
      <c r="N47" s="18">
        <f t="shared" si="5"/>
        <v>464202184.81000018</v>
      </c>
      <c r="O47" s="18">
        <f t="shared" si="5"/>
        <v>525333791.05000001</v>
      </c>
      <c r="P47" s="80">
        <f t="shared" si="5"/>
        <v>630476931.53999996</v>
      </c>
      <c r="Q47" s="18">
        <f t="shared" si="5"/>
        <v>706224979.9000001</v>
      </c>
      <c r="R47" s="18">
        <f t="shared" si="5"/>
        <v>815013516.02999973</v>
      </c>
      <c r="S47" s="18">
        <f>SUM(S45:S46)</f>
        <v>1006699877.9399998</v>
      </c>
      <c r="T47" s="18">
        <f t="shared" si="4"/>
        <v>1006699877.9399998</v>
      </c>
      <c r="U47" s="54">
        <f t="shared" si="1"/>
        <v>0.80857174337389937</v>
      </c>
      <c r="V47" s="10"/>
      <c r="W47" s="64"/>
      <c r="X47" s="62"/>
      <c r="Y47" s="46">
        <f t="shared" si="2"/>
        <v>191686361.91000009</v>
      </c>
    </row>
    <row r="48" spans="2:25" ht="19.5" customHeight="1" x14ac:dyDescent="0.25">
      <c r="B48" s="5"/>
      <c r="C48" s="9" t="s">
        <v>11</v>
      </c>
      <c r="D48" s="9" t="s">
        <v>16</v>
      </c>
      <c r="E48" s="31" t="s">
        <v>17</v>
      </c>
      <c r="F48" s="30">
        <v>148669000</v>
      </c>
      <c r="G48" s="60">
        <v>247276000</v>
      </c>
      <c r="H48" s="60">
        <v>-3907010.84</v>
      </c>
      <c r="I48" s="16">
        <v>-7719738.8099999996</v>
      </c>
      <c r="J48" s="77">
        <v>-12494554.050000001</v>
      </c>
      <c r="K48" s="60">
        <v>-17349338.010000002</v>
      </c>
      <c r="L48" s="16">
        <v>329660896.19</v>
      </c>
      <c r="M48" s="60">
        <v>-26614426.609999999</v>
      </c>
      <c r="N48" s="58">
        <v>-31452273.859999999</v>
      </c>
      <c r="O48" s="16">
        <v>-35852106.100000001</v>
      </c>
      <c r="P48" s="81">
        <v>-28815745.100000001</v>
      </c>
      <c r="Q48" s="60">
        <v>-46068221.939999998</v>
      </c>
      <c r="R48" s="60">
        <v>-50947464.380000003</v>
      </c>
      <c r="S48" s="86">
        <v>-56869555</v>
      </c>
      <c r="T48" s="17">
        <f>INDEX(H48:S48,COUNTA(H48:S48))</f>
        <v>-56869555</v>
      </c>
      <c r="U48" s="53" t="s">
        <v>43</v>
      </c>
      <c r="V48" s="5"/>
      <c r="W48" s="64"/>
      <c r="X48" s="38"/>
      <c r="Y48" s="46">
        <f t="shared" si="2"/>
        <v>-5922090.6199999973</v>
      </c>
    </row>
    <row r="49" spans="2:25" ht="19.5" customHeight="1" x14ac:dyDescent="0.25">
      <c r="B49" s="5"/>
      <c r="C49" s="9"/>
      <c r="D49" s="9"/>
      <c r="E49" s="31" t="s">
        <v>55</v>
      </c>
      <c r="F49" s="17">
        <f t="shared" ref="F49:O49" si="6">F39+F40+F42</f>
        <v>872876000</v>
      </c>
      <c r="G49" s="17">
        <f t="shared" si="6"/>
        <v>988882700</v>
      </c>
      <c r="H49" s="17">
        <f t="shared" si="6"/>
        <v>58601908.469999999</v>
      </c>
      <c r="I49" s="17">
        <f t="shared" si="6"/>
        <v>121749672.32000001</v>
      </c>
      <c r="J49" s="17">
        <f t="shared" si="6"/>
        <v>228830119.47000003</v>
      </c>
      <c r="K49" s="17">
        <f t="shared" si="6"/>
        <v>288493590.25999999</v>
      </c>
      <c r="L49" s="17">
        <f t="shared" si="6"/>
        <v>364109483.40999997</v>
      </c>
      <c r="M49" s="17">
        <f t="shared" si="6"/>
        <v>498128995.65999997</v>
      </c>
      <c r="N49" s="17">
        <f t="shared" si="6"/>
        <v>580918233.54000008</v>
      </c>
      <c r="O49" s="17">
        <f t="shared" si="6"/>
        <v>651667332</v>
      </c>
      <c r="P49" s="81">
        <f>P39+P40+P42</f>
        <v>718638122.50999999</v>
      </c>
      <c r="Q49" s="17">
        <f>Q39+Q40+Q42</f>
        <v>781150938.29999995</v>
      </c>
      <c r="R49" s="17">
        <f>R39+R40+R42</f>
        <v>848008339.93000007</v>
      </c>
      <c r="S49" s="17">
        <f>S39+S40+S42</f>
        <v>962289820.0999999</v>
      </c>
      <c r="T49" s="17">
        <f t="shared" ref="T49:T54" si="7">INDEX(H49:S49,COUNTA(H49:S49))</f>
        <v>962289820.0999999</v>
      </c>
      <c r="U49" s="53">
        <f t="shared" si="1"/>
        <v>0.97310815539598372</v>
      </c>
      <c r="V49" s="5"/>
      <c r="W49" s="64"/>
      <c r="X49" s="38"/>
      <c r="Y49" s="46">
        <f t="shared" si="2"/>
        <v>114281480.16999984</v>
      </c>
    </row>
    <row r="50" spans="2:25" s="2" customFormat="1" ht="19.5" customHeight="1" x14ac:dyDescent="0.25">
      <c r="B50" s="10"/>
      <c r="C50" s="11"/>
      <c r="D50" s="11"/>
      <c r="E50" s="40" t="s">
        <v>44</v>
      </c>
      <c r="F50" s="41">
        <f t="shared" ref="F50:P50" si="8">F44-F47</f>
        <v>-148669000</v>
      </c>
      <c r="G50" s="41">
        <f t="shared" si="8"/>
        <v>-247276000</v>
      </c>
      <c r="H50" s="41">
        <f t="shared" si="8"/>
        <v>19460255.129999995</v>
      </c>
      <c r="I50" s="41">
        <f t="shared" si="8"/>
        <v>20135190.020000011</v>
      </c>
      <c r="J50" s="41">
        <f t="shared" si="8"/>
        <v>56333677.270000041</v>
      </c>
      <c r="K50" s="41">
        <f t="shared" si="8"/>
        <v>36150197.090000033</v>
      </c>
      <c r="L50" s="41">
        <f t="shared" si="8"/>
        <v>48297464.359999955</v>
      </c>
      <c r="M50" s="41">
        <f t="shared" si="8"/>
        <v>102472342.36999995</v>
      </c>
      <c r="N50" s="41">
        <f t="shared" si="8"/>
        <v>119477348.94999993</v>
      </c>
      <c r="O50" s="41">
        <f t="shared" si="8"/>
        <v>129160577.50999993</v>
      </c>
      <c r="P50" s="82">
        <f t="shared" si="8"/>
        <v>91087751.430000067</v>
      </c>
      <c r="Q50" s="41">
        <f t="shared" ref="Q50" si="9">Q44-Q47</f>
        <v>78937320.9599998</v>
      </c>
      <c r="R50" s="41">
        <f>R44-R47</f>
        <v>37325845.960000277</v>
      </c>
      <c r="S50" s="41">
        <f>S44-S47</f>
        <v>-38459558.779999971</v>
      </c>
      <c r="T50" s="41">
        <f>INDEX(H50:S50,COUNTA(H50:S50))</f>
        <v>-38459558.779999971</v>
      </c>
      <c r="U50" s="55" t="s">
        <v>43</v>
      </c>
      <c r="V50" s="10"/>
      <c r="W50" s="64"/>
      <c r="X50" s="62"/>
      <c r="Y50" s="46">
        <f t="shared" si="2"/>
        <v>-75785404.740000248</v>
      </c>
    </row>
    <row r="51" spans="2:25" ht="19.5" customHeight="1" x14ac:dyDescent="0.25">
      <c r="B51" s="5"/>
      <c r="C51" s="9"/>
      <c r="D51" s="9"/>
      <c r="E51" s="42" t="s">
        <v>18</v>
      </c>
      <c r="F51" s="43">
        <f t="shared" ref="F51:O51" si="10">F39+F40+F42-F45</f>
        <v>117045000</v>
      </c>
      <c r="G51" s="43">
        <f t="shared" si="10"/>
        <v>55120000</v>
      </c>
      <c r="H51" s="43">
        <f t="shared" si="10"/>
        <v>21293495.119999997</v>
      </c>
      <c r="I51" s="43">
        <f t="shared" si="10"/>
        <v>26882460.460000008</v>
      </c>
      <c r="J51" s="43">
        <f t="shared" si="10"/>
        <v>63227656.050000042</v>
      </c>
      <c r="K51" s="43">
        <f t="shared" si="10"/>
        <v>53366820.819999993</v>
      </c>
      <c r="L51" s="43">
        <f t="shared" si="10"/>
        <v>69066195.329999983</v>
      </c>
      <c r="M51" s="43">
        <f t="shared" si="10"/>
        <v>127960887.32999998</v>
      </c>
      <c r="N51" s="43">
        <f t="shared" si="10"/>
        <v>154651191.14999992</v>
      </c>
      <c r="O51" s="43">
        <f t="shared" si="10"/>
        <v>170973500.83999997</v>
      </c>
      <c r="P51" s="83">
        <f>P39+P40+P42-P45</f>
        <v>172380252.27999997</v>
      </c>
      <c r="Q51" s="43">
        <f>Q39+Q40+Q42-Q45</f>
        <v>176076685.8599999</v>
      </c>
      <c r="R51" s="43">
        <f>R39+R40+R42-R45</f>
        <v>171520364.22000027</v>
      </c>
      <c r="S51" s="43">
        <f>S39+S40+S42-S45</f>
        <v>171422933.6400001</v>
      </c>
      <c r="T51" s="43">
        <f>INDEX(H51:S51,COUNTA(H51:S51))</f>
        <v>171422933.6400001</v>
      </c>
      <c r="U51" s="56">
        <f t="shared" si="1"/>
        <v>3.1099951676342545</v>
      </c>
      <c r="V51" s="5"/>
      <c r="W51" s="64"/>
      <c r="X51" s="38"/>
      <c r="Y51" s="46">
        <f t="shared" si="2"/>
        <v>-97430.580000162125</v>
      </c>
    </row>
    <row r="52" spans="2:25" ht="19.5" customHeight="1" x14ac:dyDescent="0.25">
      <c r="B52" s="5"/>
      <c r="C52" s="9"/>
      <c r="D52" s="9"/>
      <c r="E52" s="31" t="s">
        <v>19</v>
      </c>
      <c r="F52" s="17">
        <f t="shared" ref="F52:O52" si="11">F41+F43-F46</f>
        <v>-265714000</v>
      </c>
      <c r="G52" s="17">
        <f t="shared" si="11"/>
        <v>-302396000</v>
      </c>
      <c r="H52" s="17">
        <f t="shared" si="11"/>
        <v>-1833239.99</v>
      </c>
      <c r="I52" s="17">
        <f t="shared" si="11"/>
        <v>-6747270.4400000004</v>
      </c>
      <c r="J52" s="17">
        <f t="shared" si="11"/>
        <v>-6893978.7800000003</v>
      </c>
      <c r="K52" s="17">
        <f t="shared" si="11"/>
        <v>-17216623.73</v>
      </c>
      <c r="L52" s="17">
        <f t="shared" si="11"/>
        <v>-20768730.969999999</v>
      </c>
      <c r="M52" s="17">
        <f t="shared" si="11"/>
        <v>-25488544.960000001</v>
      </c>
      <c r="N52" s="17">
        <f t="shared" si="11"/>
        <v>-35173842.200000003</v>
      </c>
      <c r="O52" s="17">
        <f t="shared" si="11"/>
        <v>-41812923.329999998</v>
      </c>
      <c r="P52" s="81">
        <f>P41+P43-P46</f>
        <v>-81292500.850000009</v>
      </c>
      <c r="Q52" s="17">
        <f>Q41+Q43-Q46</f>
        <v>-97139364.899999991</v>
      </c>
      <c r="R52" s="17">
        <f>R41+R43-R46</f>
        <v>-134194518.25999999</v>
      </c>
      <c r="S52" s="17">
        <f>S41+S43-S46</f>
        <v>-209882492.41999999</v>
      </c>
      <c r="T52" s="17">
        <f>INDEX(H52:S52,COUNTA(H52:S52))</f>
        <v>-209882492.41999999</v>
      </c>
      <c r="U52" s="53">
        <f t="shared" si="1"/>
        <v>0.69406504193177154</v>
      </c>
      <c r="V52" s="5"/>
      <c r="W52" s="64"/>
      <c r="X52" s="38"/>
      <c r="Y52" s="46">
        <f t="shared" si="2"/>
        <v>-75687974.159999996</v>
      </c>
    </row>
    <row r="53" spans="2:25" ht="19.5" customHeight="1" x14ac:dyDescent="0.25">
      <c r="B53" s="5"/>
      <c r="C53" s="9"/>
      <c r="D53" s="9"/>
      <c r="E53" s="31" t="s">
        <v>51</v>
      </c>
      <c r="F53" s="17">
        <f t="shared" ref="F53:P53" si="12">F52+F48</f>
        <v>-117045000</v>
      </c>
      <c r="G53" s="17">
        <f t="shared" si="12"/>
        <v>-55120000</v>
      </c>
      <c r="H53" s="17">
        <f t="shared" si="12"/>
        <v>-5740250.8300000001</v>
      </c>
      <c r="I53" s="17">
        <f t="shared" si="12"/>
        <v>-14467009.25</v>
      </c>
      <c r="J53" s="17">
        <f t="shared" si="12"/>
        <v>-19388532.830000002</v>
      </c>
      <c r="K53" s="17">
        <f t="shared" si="12"/>
        <v>-34565961.740000002</v>
      </c>
      <c r="L53" s="17">
        <f t="shared" si="12"/>
        <v>308892165.22000003</v>
      </c>
      <c r="M53" s="17">
        <f t="shared" si="12"/>
        <v>-52102971.57</v>
      </c>
      <c r="N53" s="17">
        <f t="shared" si="12"/>
        <v>-66626116.060000002</v>
      </c>
      <c r="O53" s="17">
        <f t="shared" si="12"/>
        <v>-77665029.430000007</v>
      </c>
      <c r="P53" s="81">
        <f t="shared" si="12"/>
        <v>-110108245.95000002</v>
      </c>
      <c r="Q53" s="17">
        <f t="shared" ref="Q53:R53" si="13">Q52+Q48</f>
        <v>-143207586.83999997</v>
      </c>
      <c r="R53" s="17">
        <f t="shared" si="13"/>
        <v>-185141982.63999999</v>
      </c>
      <c r="S53" s="17">
        <f t="shared" ref="S53" si="14">S52+S48</f>
        <v>-266752047.41999999</v>
      </c>
      <c r="T53" s="17">
        <f t="shared" si="7"/>
        <v>-266752047.41999999</v>
      </c>
      <c r="U53" s="53">
        <f t="shared" si="1"/>
        <v>4.8394783639332362</v>
      </c>
      <c r="V53" s="5"/>
      <c r="W53" s="64"/>
      <c r="X53" s="38"/>
      <c r="Y53" s="46">
        <f t="shared" si="2"/>
        <v>-81610064.780000001</v>
      </c>
    </row>
    <row r="54" spans="2:25" ht="19.5" customHeight="1" x14ac:dyDescent="0.25">
      <c r="B54" s="5"/>
      <c r="C54" s="9"/>
      <c r="D54" s="9"/>
      <c r="E54" s="44" t="s">
        <v>22</v>
      </c>
      <c r="F54" s="45">
        <f t="shared" ref="F54:P54" si="15">F50+F48</f>
        <v>0</v>
      </c>
      <c r="G54" s="45">
        <f t="shared" si="15"/>
        <v>0</v>
      </c>
      <c r="H54" s="45">
        <f t="shared" si="15"/>
        <v>15553244.289999995</v>
      </c>
      <c r="I54" s="45">
        <f t="shared" si="15"/>
        <v>12415451.210000012</v>
      </c>
      <c r="J54" s="45">
        <f t="shared" si="15"/>
        <v>43839123.220000044</v>
      </c>
      <c r="K54" s="45">
        <f t="shared" si="15"/>
        <v>18800859.080000032</v>
      </c>
      <c r="L54" s="45">
        <f t="shared" si="15"/>
        <v>377958360.54999995</v>
      </c>
      <c r="M54" s="45">
        <f t="shared" si="15"/>
        <v>75857915.759999946</v>
      </c>
      <c r="N54" s="45">
        <f t="shared" si="15"/>
        <v>88025075.089999929</v>
      </c>
      <c r="O54" s="45">
        <f t="shared" si="15"/>
        <v>93308471.409999937</v>
      </c>
      <c r="P54" s="84">
        <f t="shared" si="15"/>
        <v>62272006.330000065</v>
      </c>
      <c r="Q54" s="45">
        <f t="shared" ref="Q54:R54" si="16">Q50+Q48</f>
        <v>32869099.019999802</v>
      </c>
      <c r="R54" s="45">
        <f t="shared" si="16"/>
        <v>-13621618.419999726</v>
      </c>
      <c r="S54" s="45">
        <f t="shared" ref="S54" si="17">S50+S48</f>
        <v>-95329113.779999971</v>
      </c>
      <c r="T54" s="45">
        <f t="shared" si="7"/>
        <v>-95329113.779999971</v>
      </c>
      <c r="U54" s="57" t="s">
        <v>43</v>
      </c>
      <c r="V54" s="5"/>
      <c r="W54" s="64"/>
      <c r="X54" s="38"/>
      <c r="Y54" s="46">
        <f t="shared" si="2"/>
        <v>-81707495.360000253</v>
      </c>
    </row>
    <row r="55" spans="2:25" s="27" customFormat="1" ht="10.5" customHeight="1" x14ac:dyDescent="0.25">
      <c r="B55" s="28"/>
      <c r="C55" s="26"/>
      <c r="D55" s="26"/>
      <c r="E55" s="33"/>
      <c r="F55" s="33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4"/>
      <c r="R55" s="34"/>
      <c r="S55" s="34"/>
      <c r="T55" s="29"/>
      <c r="U55" s="35"/>
      <c r="V55" s="28"/>
      <c r="W55" s="67"/>
      <c r="X55" s="63"/>
    </row>
    <row r="56" spans="2:25" s="27" customFormat="1" ht="27.6" x14ac:dyDescent="0.25">
      <c r="B56" s="28"/>
      <c r="C56" s="26"/>
      <c r="D56" s="26"/>
      <c r="E56" s="36"/>
      <c r="F56" s="36"/>
      <c r="G56" s="14" t="s">
        <v>48</v>
      </c>
      <c r="H56" s="15" t="s">
        <v>23</v>
      </c>
      <c r="I56" s="15" t="s">
        <v>24</v>
      </c>
      <c r="J56" s="15" t="s">
        <v>25</v>
      </c>
      <c r="K56" s="15" t="s">
        <v>26</v>
      </c>
      <c r="L56" s="15" t="s">
        <v>27</v>
      </c>
      <c r="M56" s="15" t="s">
        <v>28</v>
      </c>
      <c r="N56" s="15" t="s">
        <v>29</v>
      </c>
      <c r="O56" s="15" t="s">
        <v>30</v>
      </c>
      <c r="P56" s="15" t="s">
        <v>31</v>
      </c>
      <c r="Q56" s="15" t="s">
        <v>32</v>
      </c>
      <c r="R56" s="15" t="s">
        <v>33</v>
      </c>
      <c r="S56" s="15" t="s">
        <v>34</v>
      </c>
      <c r="T56" s="15" t="s">
        <v>35</v>
      </c>
      <c r="U56" s="15" t="s">
        <v>47</v>
      </c>
      <c r="V56" s="28"/>
      <c r="W56" s="65" t="s">
        <v>56</v>
      </c>
      <c r="X56" s="63"/>
    </row>
    <row r="57" spans="2:25" s="27" customFormat="1" ht="19.5" customHeight="1" x14ac:dyDescent="0.25">
      <c r="B57" s="28"/>
      <c r="C57" s="26"/>
      <c r="D57" s="26"/>
      <c r="E57" s="37" t="s">
        <v>54</v>
      </c>
      <c r="F57" s="78" t="s">
        <v>59</v>
      </c>
      <c r="G57" s="30">
        <v>10000000</v>
      </c>
      <c r="H57" s="30">
        <v>9800000</v>
      </c>
      <c r="I57" s="30">
        <v>9800000</v>
      </c>
      <c r="J57" s="30">
        <v>11332700</v>
      </c>
      <c r="K57" s="30">
        <v>24952700</v>
      </c>
      <c r="L57" s="30">
        <v>24952700</v>
      </c>
      <c r="M57" s="30">
        <v>76501700</v>
      </c>
      <c r="N57" s="30">
        <v>76501700</v>
      </c>
      <c r="O57" s="74">
        <v>76501700</v>
      </c>
      <c r="P57" s="30">
        <v>62614700</v>
      </c>
      <c r="Q57" s="30">
        <v>62614700</v>
      </c>
      <c r="R57" s="30">
        <v>48583000</v>
      </c>
      <c r="S57" s="30">
        <v>55080700</v>
      </c>
      <c r="T57" s="30">
        <f>INDEX(H57:S57,COUNTA(H57:S57))</f>
        <v>55080700</v>
      </c>
      <c r="U57" s="30">
        <f>T57-G57</f>
        <v>45080700</v>
      </c>
      <c r="V57" s="28"/>
      <c r="W57" s="64"/>
      <c r="X57" s="63"/>
    </row>
    <row r="58" spans="2:25" s="27" customFormat="1" ht="19.5" customHeight="1" x14ac:dyDescent="0.25">
      <c r="B58" s="28"/>
      <c r="C58" s="26"/>
      <c r="D58" s="26"/>
      <c r="E58" s="37" t="s">
        <v>53</v>
      </c>
      <c r="F58" s="78" t="s">
        <v>59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f>INDEX(H58:S58,COUNTA(H58:S58))</f>
        <v>0</v>
      </c>
      <c r="U58" s="30">
        <f>T58-G58</f>
        <v>0</v>
      </c>
      <c r="V58" s="28"/>
      <c r="W58" s="64"/>
      <c r="X58" s="63"/>
    </row>
    <row r="59" spans="2:25" ht="19.5" customHeight="1" x14ac:dyDescent="0.25">
      <c r="B59" s="5"/>
      <c r="C59" s="6"/>
      <c r="D59" s="6"/>
      <c r="E59" s="37" t="s">
        <v>46</v>
      </c>
      <c r="F59" s="78" t="s">
        <v>59</v>
      </c>
      <c r="G59" s="30">
        <v>272059661.89999998</v>
      </c>
      <c r="H59" s="30">
        <v>287612906.19</v>
      </c>
      <c r="I59" s="30">
        <v>284475113.11000001</v>
      </c>
      <c r="J59" s="30">
        <v>315898785.12</v>
      </c>
      <c r="K59" s="30">
        <v>290860520.98000002</v>
      </c>
      <c r="L59" s="30">
        <v>650018022.45000005</v>
      </c>
      <c r="M59" s="30">
        <v>347917577.66000003</v>
      </c>
      <c r="N59" s="16">
        <v>360084736.99000001</v>
      </c>
      <c r="O59" s="74">
        <v>365368133.31</v>
      </c>
      <c r="P59" s="30">
        <v>334331668.23000002</v>
      </c>
      <c r="Q59" s="30">
        <v>304928760.92000002</v>
      </c>
      <c r="R59" s="30">
        <v>258438043.47999999</v>
      </c>
      <c r="S59" s="30">
        <v>176730548.12</v>
      </c>
      <c r="T59" s="30">
        <f>INDEX(H59:S59,COUNTA(H59:S59))</f>
        <v>176730548.12</v>
      </c>
      <c r="U59" s="30">
        <f>T59-G59</f>
        <v>-95329113.779999971</v>
      </c>
      <c r="V59" s="5"/>
      <c r="W59" s="64"/>
      <c r="X59" s="38"/>
    </row>
    <row r="60" spans="2:25" ht="19.5" customHeight="1" x14ac:dyDescent="0.25">
      <c r="B60" s="5"/>
      <c r="C60" s="6"/>
      <c r="D60" s="6"/>
      <c r="E60" s="37" t="s">
        <v>49</v>
      </c>
      <c r="F60" s="78" t="s">
        <v>59</v>
      </c>
      <c r="G60" s="30">
        <v>302700909.11999989</v>
      </c>
      <c r="H60" s="30">
        <f t="shared" ref="H60:Q60" si="18">G60-4097500</f>
        <v>298603409.11999989</v>
      </c>
      <c r="I60" s="30">
        <f t="shared" si="18"/>
        <v>294505909.11999989</v>
      </c>
      <c r="J60" s="30">
        <f t="shared" si="18"/>
        <v>290408409.11999989</v>
      </c>
      <c r="K60" s="30">
        <f t="shared" si="18"/>
        <v>286310909.11999989</v>
      </c>
      <c r="L60" s="30">
        <f t="shared" si="18"/>
        <v>282213409.11999989</v>
      </c>
      <c r="M60" s="30">
        <f t="shared" si="18"/>
        <v>278115909.11999989</v>
      </c>
      <c r="N60" s="30">
        <f t="shared" si="18"/>
        <v>274018409.11999989</v>
      </c>
      <c r="O60" s="30">
        <f t="shared" si="18"/>
        <v>269920909.11999989</v>
      </c>
      <c r="P60" s="30">
        <f t="shared" si="18"/>
        <v>265823409.11999989</v>
      </c>
      <c r="Q60" s="30">
        <f t="shared" si="18"/>
        <v>261725909.11999989</v>
      </c>
      <c r="R60" s="30">
        <f t="shared" ref="R60" si="19">Q60-4097500</f>
        <v>257628409.11999989</v>
      </c>
      <c r="S60" s="30">
        <f t="shared" ref="S60" si="20">R60-4097500</f>
        <v>253530909.11999989</v>
      </c>
      <c r="T60" s="30">
        <f>INDEX(H60:S60,COUNTA(H60:S60))</f>
        <v>253530909.11999989</v>
      </c>
      <c r="U60" s="30">
        <f>T60-G60</f>
        <v>-49170000</v>
      </c>
      <c r="V60" s="5"/>
      <c r="W60" s="64"/>
      <c r="X60" s="38"/>
    </row>
    <row r="61" spans="2:25" ht="19.5" customHeight="1" x14ac:dyDescent="0.25">
      <c r="B61" s="5"/>
      <c r="C61" s="6"/>
      <c r="D61" s="6"/>
      <c r="E61" s="37" t="s">
        <v>50</v>
      </c>
      <c r="F61" s="78" t="s">
        <v>59</v>
      </c>
      <c r="G61" s="30">
        <v>432469259.49000001</v>
      </c>
      <c r="H61" s="75">
        <f>349653980.49+83903273.89</f>
        <v>433557254.38</v>
      </c>
      <c r="I61" s="30">
        <f>349894288.55+83431507.13</f>
        <v>433325795.68000001</v>
      </c>
      <c r="J61" s="30">
        <f>350645630.29+83683608.29</f>
        <v>434329238.58000004</v>
      </c>
      <c r="K61" s="30">
        <f>351374104.34+83958387.42</f>
        <v>435332491.75999999</v>
      </c>
      <c r="L61" s="30">
        <f>352104623.32+84220128.41-352103492.8</f>
        <v>84221258.930000007</v>
      </c>
      <c r="M61" s="30">
        <f>352812718.29+84496351.1</f>
        <v>437309069.38999999</v>
      </c>
      <c r="N61" s="30">
        <f>353570232.27+84756346.97</f>
        <v>438326579.24000001</v>
      </c>
      <c r="O61" s="75">
        <f>353893664.56+84861792.05</f>
        <v>438755456.61000001</v>
      </c>
      <c r="P61" s="30">
        <f>354628923+85401052.63</f>
        <v>440029975.63</v>
      </c>
      <c r="Q61" s="30">
        <f>355390360.97+85817755.78</f>
        <v>441208116.75</v>
      </c>
      <c r="R61" s="30">
        <f>List1!G16</f>
        <v>442118593.15999997</v>
      </c>
      <c r="S61" s="30">
        <f>85947513.76+356893390.67</f>
        <v>442840904.43000001</v>
      </c>
      <c r="T61" s="30">
        <f>INDEX(H61:S61,COUNTA(H61:S61))</f>
        <v>442840904.43000001</v>
      </c>
      <c r="U61" s="30">
        <f>T61-G61</f>
        <v>10371644.939999998</v>
      </c>
      <c r="V61" s="5"/>
      <c r="W61" s="64"/>
      <c r="X61" s="38"/>
    </row>
    <row r="62" spans="2:25" x14ac:dyDescent="0.25">
      <c r="B62" s="38"/>
      <c r="E62" s="6"/>
      <c r="F62" s="6"/>
      <c r="G62" s="6"/>
      <c r="H62" s="7"/>
      <c r="I62" s="7"/>
      <c r="J62" s="7"/>
      <c r="K62" s="7"/>
      <c r="L62" s="7"/>
      <c r="M62" s="7"/>
      <c r="N62" s="5"/>
      <c r="O62" s="5"/>
      <c r="P62" s="5"/>
      <c r="Q62" s="5"/>
      <c r="R62" s="5"/>
      <c r="S62" s="25"/>
      <c r="T62" s="5"/>
      <c r="U62" s="5"/>
      <c r="V62" s="38"/>
      <c r="W62" s="39" t="s">
        <v>45</v>
      </c>
      <c r="X62" s="38"/>
    </row>
    <row r="63" spans="2:25" hidden="1" x14ac:dyDescent="0.25">
      <c r="E63" s="6"/>
      <c r="F63" s="6"/>
      <c r="G63" s="6"/>
      <c r="H63" s="7"/>
      <c r="I63" s="7"/>
      <c r="J63" s="7"/>
      <c r="K63" s="7"/>
      <c r="L63" s="7"/>
      <c r="M63" s="7"/>
      <c r="N63" s="5"/>
      <c r="O63" s="5"/>
      <c r="P63" s="5"/>
      <c r="Q63" s="5"/>
      <c r="R63" s="5"/>
      <c r="S63" s="5"/>
      <c r="T63" s="5"/>
      <c r="U63" s="24"/>
    </row>
    <row r="64" spans="2:25" hidden="1" x14ac:dyDescent="0.25"/>
    <row r="65" spans="16:21" x14ac:dyDescent="0.25">
      <c r="P65" s="46"/>
      <c r="U65" s="59">
        <f>U61+8181818.18-1014240</f>
        <v>17539223.119999997</v>
      </c>
    </row>
    <row r="66" spans="16:21" hidden="1" x14ac:dyDescent="0.25"/>
    <row r="67" spans="16:21" hidden="1" x14ac:dyDescent="0.25"/>
  </sheetData>
  <mergeCells count="7">
    <mergeCell ref="E31:G31"/>
    <mergeCell ref="E35:G35"/>
    <mergeCell ref="E17:G17"/>
    <mergeCell ref="E20:G20"/>
    <mergeCell ref="E27:G27"/>
    <mergeCell ref="E23:G23"/>
    <mergeCell ref="E22:G22"/>
  </mergeCells>
  <conditionalFormatting sqref="G39">
    <cfRule type="iconSet" priority="49">
      <iconSet iconSet="3Arrows">
        <cfvo type="percent" val="0"/>
        <cfvo type="num" val="$F$39"/>
        <cfvo type="num" val="$F$39" gte="0"/>
      </iconSet>
    </cfRule>
  </conditionalFormatting>
  <conditionalFormatting sqref="G40">
    <cfRule type="iconSet" priority="48">
      <iconSet iconSet="3Arrows">
        <cfvo type="percent" val="0"/>
        <cfvo type="num" val="$F$40"/>
        <cfvo type="num" val="$F$40" gte="0"/>
      </iconSet>
    </cfRule>
  </conditionalFormatting>
  <conditionalFormatting sqref="G41">
    <cfRule type="iconSet" priority="47">
      <iconSet iconSet="3Arrows">
        <cfvo type="percent" val="0"/>
        <cfvo type="num" val="$F$41"/>
        <cfvo type="num" val="$F$41" gte="0"/>
      </iconSet>
    </cfRule>
  </conditionalFormatting>
  <conditionalFormatting sqref="G42">
    <cfRule type="iconSet" priority="46">
      <iconSet iconSet="3Arrows">
        <cfvo type="percent" val="0"/>
        <cfvo type="num" val="$F$42"/>
        <cfvo type="num" val="$F$42" gte="0"/>
      </iconSet>
    </cfRule>
  </conditionalFormatting>
  <conditionalFormatting sqref="G43">
    <cfRule type="iconSet" priority="45">
      <iconSet iconSet="3Arrows">
        <cfvo type="percent" val="0"/>
        <cfvo type="num" val="$F$43"/>
        <cfvo type="num" val="$F$43" gte="0"/>
      </iconSet>
    </cfRule>
  </conditionalFormatting>
  <conditionalFormatting sqref="G44">
    <cfRule type="iconSet" priority="44">
      <iconSet iconSet="3Arrows">
        <cfvo type="percent" val="0"/>
        <cfvo type="num" val="$F$44"/>
        <cfvo type="num" val="$F$44" gte="0"/>
      </iconSet>
    </cfRule>
  </conditionalFormatting>
  <conditionalFormatting sqref="G45">
    <cfRule type="iconSet" priority="43">
      <iconSet iconSet="3Arrows">
        <cfvo type="percent" val="0"/>
        <cfvo type="num" val="$F$45"/>
        <cfvo type="num" val="$F$45" gte="0"/>
      </iconSet>
    </cfRule>
  </conditionalFormatting>
  <conditionalFormatting sqref="G46">
    <cfRule type="iconSet" priority="42">
      <iconSet iconSet="3Arrows">
        <cfvo type="percent" val="0"/>
        <cfvo type="num" val="$F$46"/>
        <cfvo type="num" val="$F$46" gte="0"/>
      </iconSet>
    </cfRule>
  </conditionalFormatting>
  <conditionalFormatting sqref="G47">
    <cfRule type="iconSet" priority="40">
      <iconSet iconSet="3Arrows">
        <cfvo type="percent" val="0"/>
        <cfvo type="num" val="$F$47"/>
        <cfvo type="num" val="$F$47" gte="0"/>
      </iconSet>
    </cfRule>
  </conditionalFormatting>
  <conditionalFormatting sqref="G49">
    <cfRule type="iconSet" priority="38">
      <iconSet iconSet="3Arrows">
        <cfvo type="percent" val="0"/>
        <cfvo type="num" val="$F$49"/>
        <cfvo type="num" val="$F$49" gte="0"/>
      </iconSet>
    </cfRule>
  </conditionalFormatting>
  <conditionalFormatting sqref="G50">
    <cfRule type="iconSet" priority="37">
      <iconSet iconSet="3Arrows">
        <cfvo type="percent" val="0"/>
        <cfvo type="num" val="$F$50"/>
        <cfvo type="num" val="$F$50" gte="0"/>
      </iconSet>
    </cfRule>
  </conditionalFormatting>
  <conditionalFormatting sqref="G51">
    <cfRule type="iconSet" priority="36">
      <iconSet iconSet="3Arrows">
        <cfvo type="percent" val="0"/>
        <cfvo type="num" val="$F$51"/>
        <cfvo type="num" val="$F$51" gte="0"/>
      </iconSet>
    </cfRule>
  </conditionalFormatting>
  <conditionalFormatting sqref="G52">
    <cfRule type="iconSet" priority="35">
      <iconSet iconSet="3Arrows">
        <cfvo type="percent" val="0"/>
        <cfvo type="num" val="$F$52"/>
        <cfvo type="num" val="$F$52" gte="0"/>
      </iconSet>
    </cfRule>
  </conditionalFormatting>
  <conditionalFormatting sqref="G53">
    <cfRule type="iconSet" priority="34">
      <iconSet iconSet="3Arrows">
        <cfvo type="percent" val="0"/>
        <cfvo type="num" val="$F$53"/>
        <cfvo type="num" val="$F$53" gte="0"/>
      </iconSet>
    </cfRule>
  </conditionalFormatting>
  <conditionalFormatting sqref="G54">
    <cfRule type="iconSet" priority="33">
      <iconSet iconSet="3Arrows">
        <cfvo type="percent" val="0"/>
        <cfvo type="num" val="$F$54"/>
        <cfvo type="num" val="$F$54" gte="0"/>
      </iconSet>
    </cfRule>
  </conditionalFormatting>
  <conditionalFormatting sqref="T57">
    <cfRule type="iconSet" priority="31">
      <iconSet iconSet="3Arrows">
        <cfvo type="percent" val="0"/>
        <cfvo type="num" val="$G$57"/>
        <cfvo type="num" val="$G$57" gte="0"/>
      </iconSet>
    </cfRule>
  </conditionalFormatting>
  <conditionalFormatting sqref="T60">
    <cfRule type="iconSet" priority="30">
      <iconSet iconSet="3Symbols2" reverse="1">
        <cfvo type="percent" val="0"/>
        <cfvo type="num" val="$G$60"/>
        <cfvo type="num" val="$G$60" gte="0"/>
      </iconSet>
    </cfRule>
  </conditionalFormatting>
  <conditionalFormatting sqref="T58:T59">
    <cfRule type="iconSet" priority="29">
      <iconSet iconSet="3Arrows">
        <cfvo type="percent" val="0"/>
        <cfvo type="num" val="$G$58"/>
        <cfvo type="num" val="$G$58" gte="0"/>
      </iconSet>
    </cfRule>
  </conditionalFormatting>
  <conditionalFormatting sqref="T61">
    <cfRule type="iconSet" priority="28">
      <iconSet iconSet="3Arrows">
        <cfvo type="percent" val="0"/>
        <cfvo type="num" val="$G$58"/>
        <cfvo type="num" val="$G$58" gte="0"/>
      </iconSet>
    </cfRule>
  </conditionalFormatting>
  <conditionalFormatting sqref="T43">
    <cfRule type="iconSet" priority="19">
      <iconSet iconSet="3Symbols">
        <cfvo type="percent" val="0"/>
        <cfvo type="num" val="($G$43/12*12)*0.9"/>
        <cfvo type="num" val="$G$43/12*12" gte="0"/>
      </iconSet>
    </cfRule>
  </conditionalFormatting>
  <conditionalFormatting sqref="T46">
    <cfRule type="iconSet" priority="16">
      <iconSet iconSet="3Symbols" reverse="1">
        <cfvo type="percent" val="0"/>
        <cfvo type="num" val="($G$46/12*12)*0.9"/>
        <cfvo type="num" val="$G$46/12*12" gte="0"/>
      </iconSet>
    </cfRule>
  </conditionalFormatting>
  <conditionalFormatting sqref="T47">
    <cfRule type="iconSet" priority="15">
      <iconSet iconSet="3Symbols" reverse="1">
        <cfvo type="percent" val="0"/>
        <cfvo type="num" val="($G$47/12*12)*0.9"/>
        <cfvo type="num" val="$G$47/12*12" gte="0"/>
      </iconSet>
    </cfRule>
  </conditionalFormatting>
  <conditionalFormatting sqref="T48">
    <cfRule type="iconSet" priority="14">
      <iconSet iconSet="3Symbols" reverse="1">
        <cfvo type="percent" val="0"/>
        <cfvo type="num" val="$G$48*0.5"/>
        <cfvo type="num" val="$G$48" gte="0"/>
      </iconSet>
    </cfRule>
  </conditionalFormatting>
  <conditionalFormatting sqref="T49">
    <cfRule type="iconSet" priority="13">
      <iconSet iconSet="3Symbols">
        <cfvo type="percent" val="0"/>
        <cfvo type="num" val="$G$49/12*12*0.9"/>
        <cfvo type="num" val="$G$49/12*12" gte="0"/>
      </iconSet>
    </cfRule>
  </conditionalFormatting>
  <conditionalFormatting sqref="T50">
    <cfRule type="iconSet" priority="12">
      <iconSet iconSet="3Symbols">
        <cfvo type="percent" val="0"/>
        <cfvo type="num" val="-10000000"/>
        <cfvo type="num" val="0"/>
      </iconSet>
    </cfRule>
  </conditionalFormatting>
  <conditionalFormatting sqref="T51">
    <cfRule type="iconSet" priority="11">
      <iconSet iconSet="3Symbols">
        <cfvo type="percent" val="0"/>
        <cfvo type="num" val="$G$51/12*12*0.9"/>
        <cfvo type="num" val="$G$51/12*12" gte="0"/>
      </iconSet>
    </cfRule>
  </conditionalFormatting>
  <conditionalFormatting sqref="T52">
    <cfRule type="iconSet" priority="10">
      <iconSet iconSet="3Symbols">
        <cfvo type="percent" val="0"/>
        <cfvo type="num" val="$G$52*0.5"/>
        <cfvo type="num" val="$G$52" gte="0"/>
      </iconSet>
    </cfRule>
  </conditionalFormatting>
  <conditionalFormatting sqref="T53">
    <cfRule type="iconSet" priority="9">
      <iconSet iconSet="3Symbols">
        <cfvo type="percent" val="0"/>
        <cfvo type="num" val="$G$53*0.9"/>
        <cfvo type="num" val="$G$53" gte="0"/>
      </iconSet>
    </cfRule>
  </conditionalFormatting>
  <conditionalFormatting sqref="T54">
    <cfRule type="iconSet" priority="8">
      <iconSet iconSet="3Symbols">
        <cfvo type="percent" val="0"/>
        <cfvo type="num" val="0"/>
        <cfvo type="num" val="50000000"/>
      </iconSet>
    </cfRule>
  </conditionalFormatting>
  <conditionalFormatting sqref="T45">
    <cfRule type="iconSet" priority="7">
      <iconSet iconSet="3Symbols" reverse="1">
        <cfvo type="percent" val="0"/>
        <cfvo type="num" val="($G$45/12*12)*0.9"/>
        <cfvo type="num" val="$G$45/12*12" gte="0"/>
      </iconSet>
    </cfRule>
  </conditionalFormatting>
  <conditionalFormatting sqref="T44">
    <cfRule type="iconSet" priority="5">
      <iconSet iconSet="3Symbols">
        <cfvo type="percent" val="0"/>
        <cfvo type="num" val="($G$44/12*12)*0.9"/>
        <cfvo type="num" val="$G$44/12*12" gte="0"/>
      </iconSet>
    </cfRule>
  </conditionalFormatting>
  <conditionalFormatting sqref="T42">
    <cfRule type="iconSet" priority="4">
      <iconSet iconSet="3Symbols">
        <cfvo type="percent" val="0"/>
        <cfvo type="num" val="($G$42/12*12)*0.9"/>
        <cfvo type="num" val="$G$42/12*12" gte="0"/>
      </iconSet>
    </cfRule>
  </conditionalFormatting>
  <conditionalFormatting sqref="T41">
    <cfRule type="iconSet" priority="3">
      <iconSet iconSet="3Symbols">
        <cfvo type="percent" val="0"/>
        <cfvo type="num" val="($G$41/12*12)*0.9"/>
        <cfvo type="num" val="$G$41/12*12" gte="0"/>
      </iconSet>
    </cfRule>
  </conditionalFormatting>
  <conditionalFormatting sqref="T40">
    <cfRule type="iconSet" priority="2">
      <iconSet iconSet="3Symbols">
        <cfvo type="percent" val="0"/>
        <cfvo type="num" val="($G$40/12*12)*0.9"/>
        <cfvo type="num" val="$G$40/12*12" gte="0"/>
      </iconSet>
    </cfRule>
  </conditionalFormatting>
  <conditionalFormatting sqref="T39">
    <cfRule type="iconSet" priority="1">
      <iconSet iconSet="3Symbols">
        <cfvo type="percent" val="0"/>
        <cfvo type="num" val="($G$39/12*12)*0.9"/>
        <cfvo type="num" val="$G$39/12*12" gte="0"/>
      </iconSet>
    </cfRule>
  </conditionalFormatting>
  <printOptions horizontalCentered="1" verticalCentered="1"/>
  <pageMargins left="0" right="0" top="0" bottom="0" header="0" footer="0"/>
  <pageSetup paperSize="9" scale="44" orientation="landscape" r:id="rId1"/>
  <rowBreaks count="1" manualBreakCount="1">
    <brk id="49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9" id="{46C3D8D4-8D57-49B2-8EC9-8DFE17E32ABC}">
            <x14:iconSet iconSet="3Arrows" custom="1">
              <x14:cfvo type="percent">
                <xm:f>0</xm:f>
              </x14:cfvo>
              <x14:cfvo type="num">
                <xm:f>$F$48</xm:f>
              </x14:cfvo>
              <x14:cfvo type="num" gte="0">
                <xm:f>$F$48</xm:f>
              </x14:cfvo>
              <x14:cfIcon iconSet="3ArrowsGray" iconId="0"/>
              <x14:cfIcon iconSet="3ArrowsGray" iconId="1"/>
              <x14:cfIcon iconSet="3ArrowsGray" iconId="2"/>
            </x14:iconSet>
          </x14:cfRule>
          <xm:sqref>G48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'Výběrové porovnání dat'!H39:S39</xm:f>
              <xm:sqref>W39</xm:sqref>
            </x14:sparkline>
            <x14:sparkline>
              <xm:f>'Výběrové porovnání dat'!H40:S40</xm:f>
              <xm:sqref>W40</xm:sqref>
            </x14:sparkline>
            <x14:sparkline>
              <xm:f>'Výběrové porovnání dat'!H41:S41</xm:f>
              <xm:sqref>W41</xm:sqref>
            </x14:sparkline>
            <x14:sparkline>
              <xm:f>'Výběrové porovnání dat'!H42:S42</xm:f>
              <xm:sqref>W42</xm:sqref>
            </x14:sparkline>
            <x14:sparkline>
              <xm:f>'Výběrové porovnání dat'!H43:S43</xm:f>
              <xm:sqref>W43</xm:sqref>
            </x14:sparkline>
            <x14:sparkline>
              <xm:f>'Výběrové porovnání dat'!H44:S44</xm:f>
              <xm:sqref>W44</xm:sqref>
            </x14:sparkline>
            <x14:sparkline>
              <xm:f>'Výběrové porovnání dat'!H45:S45</xm:f>
              <xm:sqref>W45</xm:sqref>
            </x14:sparkline>
            <x14:sparkline>
              <xm:f>'Výběrové porovnání dat'!H46:S46</xm:f>
              <xm:sqref>W46</xm:sqref>
            </x14:sparkline>
            <x14:sparkline>
              <xm:f>'Výběrové porovnání dat'!H47:S47</xm:f>
              <xm:sqref>W47</xm:sqref>
            </x14:sparkline>
            <x14:sparkline>
              <xm:f>'Výběrové porovnání dat'!H48:S48</xm:f>
              <xm:sqref>W48</xm:sqref>
            </x14:sparkline>
            <x14:sparkline>
              <xm:f>'Výběrové porovnání dat'!H49:S49</xm:f>
              <xm:sqref>W49</xm:sqref>
            </x14:sparkline>
            <x14:sparkline>
              <xm:f>'Výběrové porovnání dat'!H50:S50</xm:f>
              <xm:sqref>W50</xm:sqref>
            </x14:sparkline>
            <x14:sparkline>
              <xm:f>'Výběrové porovnání dat'!H51:S51</xm:f>
              <xm:sqref>W51</xm:sqref>
            </x14:sparkline>
            <x14:sparkline>
              <xm:f>'Výběrové porovnání dat'!H52:S52</xm:f>
              <xm:sqref>W52</xm:sqref>
            </x14:sparkline>
            <x14:sparkline>
              <xm:f>'Výběrové porovnání dat'!H53:S53</xm:f>
              <xm:sqref>W53</xm:sqref>
            </x14:sparkline>
            <x14:sparkline>
              <xm:f>'Výběrové porovnání dat'!H54:S54</xm:f>
              <xm:sqref>W54</xm:sqref>
            </x14:sparkline>
            <x14:sparkline>
              <xm:f>'Výběrové porovnání dat'!H55:S55</xm:f>
              <xm:sqref>W55</xm:sqref>
            </x14:sparkline>
            <x14:sparkline>
              <xm:f>'Výběrové porovnání dat'!H57:S57</xm:f>
              <xm:sqref>W57</xm:sqref>
            </x14:sparkline>
            <x14:sparkline>
              <xm:f>'Výběrové porovnání dat'!H58:S58</xm:f>
              <xm:sqref>W58</xm:sqref>
            </x14:sparkline>
            <x14:sparkline>
              <xm:f>'Výběrové porovnání dat'!H59:S59</xm:f>
              <xm:sqref>W59</xm:sqref>
            </x14:sparkline>
            <x14:sparkline>
              <xm:f>'Výběrové porovnání dat'!H60:S60</xm:f>
              <xm:sqref>W60</xm:sqref>
            </x14:sparkline>
            <x14:sparkline>
              <xm:f>'Výběrové porovnání dat'!H61:S61</xm:f>
              <xm:sqref>W61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"/>
  <sheetViews>
    <sheetView workbookViewId="0">
      <selection activeCell="C19" sqref="C19"/>
    </sheetView>
  </sheetViews>
  <sheetFormatPr defaultRowHeight="12.6" x14ac:dyDescent="0.25"/>
  <cols>
    <col min="2" max="14" width="15.625" bestFit="1" customWidth="1"/>
  </cols>
  <sheetData>
    <row r="2" spans="1:14" ht="13.8" x14ac:dyDescent="0.25">
      <c r="A2">
        <v>2017</v>
      </c>
      <c r="B2" s="30">
        <v>302700909.11999989</v>
      </c>
      <c r="C2" s="30">
        <f t="shared" ref="C2:F7" si="0">B2-4097500</f>
        <v>298603409.11999989</v>
      </c>
      <c r="D2" s="30">
        <f t="shared" si="0"/>
        <v>294505909.11999989</v>
      </c>
      <c r="E2" s="30">
        <f t="shared" si="0"/>
        <v>290408409.11999989</v>
      </c>
      <c r="F2" s="30">
        <f t="shared" si="0"/>
        <v>286310909.11999989</v>
      </c>
      <c r="G2" s="30">
        <f t="shared" ref="G2:G7" si="1">F2-4097500</f>
        <v>282213409.11999989</v>
      </c>
      <c r="H2" s="30">
        <f t="shared" ref="H2:H7" si="2">G2-4097500</f>
        <v>278115909.11999989</v>
      </c>
      <c r="I2" s="30">
        <f t="shared" ref="I2:K7" si="3">H2-4097500</f>
        <v>274018409.11999989</v>
      </c>
      <c r="J2" s="30">
        <f t="shared" si="3"/>
        <v>269920909.11999989</v>
      </c>
      <c r="K2" s="30">
        <f t="shared" si="3"/>
        <v>265823409.11999989</v>
      </c>
      <c r="L2" s="30">
        <f t="shared" ref="L2:L7" si="4">K2-4097500</f>
        <v>261725909.11999989</v>
      </c>
      <c r="M2" s="30">
        <f t="shared" ref="M2:M7" si="5">L2-4097500</f>
        <v>257628409.11999989</v>
      </c>
      <c r="N2" s="30">
        <f t="shared" ref="N2:N7" si="6">M2-4097500</f>
        <v>253530909.11999989</v>
      </c>
    </row>
    <row r="3" spans="1:14" ht="13.8" x14ac:dyDescent="0.25">
      <c r="A3">
        <v>2018</v>
      </c>
      <c r="B3" s="30">
        <f>N2-4097500</f>
        <v>249433409.11999989</v>
      </c>
      <c r="C3" s="72">
        <f t="shared" si="0"/>
        <v>245335909.11999989</v>
      </c>
      <c r="D3" s="72">
        <f t="shared" si="0"/>
        <v>241238409.11999989</v>
      </c>
      <c r="E3" s="72">
        <f t="shared" si="0"/>
        <v>237140909.11999989</v>
      </c>
      <c r="F3" s="72">
        <f t="shared" si="0"/>
        <v>233043409.11999989</v>
      </c>
      <c r="G3" s="72">
        <f t="shared" si="1"/>
        <v>228945909.11999989</v>
      </c>
      <c r="H3" s="72">
        <f t="shared" si="2"/>
        <v>224848409.11999989</v>
      </c>
      <c r="I3" s="72">
        <f t="shared" si="3"/>
        <v>220750909.11999989</v>
      </c>
      <c r="J3" s="72">
        <f t="shared" si="3"/>
        <v>216653409.11999989</v>
      </c>
      <c r="K3" s="72">
        <f t="shared" si="3"/>
        <v>212555909.11999989</v>
      </c>
      <c r="L3" s="72">
        <f t="shared" si="4"/>
        <v>208458409.11999989</v>
      </c>
      <c r="M3" s="72">
        <f t="shared" si="5"/>
        <v>204360909.11999989</v>
      </c>
      <c r="N3" s="72">
        <f t="shared" si="6"/>
        <v>200263409.11999989</v>
      </c>
    </row>
    <row r="4" spans="1:14" ht="13.8" x14ac:dyDescent="0.25">
      <c r="A4">
        <v>2019</v>
      </c>
      <c r="B4" s="30">
        <f>N3-4097500</f>
        <v>196165909.11999989</v>
      </c>
      <c r="C4" s="72">
        <f t="shared" si="0"/>
        <v>192068409.11999989</v>
      </c>
      <c r="D4" s="72">
        <f t="shared" si="0"/>
        <v>187970909.11999989</v>
      </c>
      <c r="E4" s="72">
        <f t="shared" si="0"/>
        <v>183873409.11999989</v>
      </c>
      <c r="F4" s="72">
        <f t="shared" si="0"/>
        <v>179775909.11999989</v>
      </c>
      <c r="G4" s="72">
        <f t="shared" si="1"/>
        <v>175678409.11999989</v>
      </c>
      <c r="H4" s="72">
        <f t="shared" si="2"/>
        <v>171580909.11999989</v>
      </c>
      <c r="I4" s="72">
        <f t="shared" si="3"/>
        <v>167483409.11999989</v>
      </c>
      <c r="J4" s="72">
        <f t="shared" si="3"/>
        <v>163385909.11999989</v>
      </c>
      <c r="K4" s="72">
        <f t="shared" si="3"/>
        <v>159288409.11999989</v>
      </c>
      <c r="L4" s="72">
        <f t="shared" si="4"/>
        <v>155190909.11999989</v>
      </c>
      <c r="M4" s="72">
        <f t="shared" si="5"/>
        <v>151093409.11999989</v>
      </c>
      <c r="N4" s="72">
        <f t="shared" si="6"/>
        <v>146995909.11999989</v>
      </c>
    </row>
    <row r="5" spans="1:14" ht="13.8" x14ac:dyDescent="0.25">
      <c r="A5">
        <v>2020</v>
      </c>
      <c r="B5" s="30">
        <f>N4-4097500</f>
        <v>142898409.11999989</v>
      </c>
      <c r="C5" s="72">
        <f t="shared" si="0"/>
        <v>138800909.11999989</v>
      </c>
      <c r="D5" s="72">
        <f t="shared" si="0"/>
        <v>134703409.11999989</v>
      </c>
      <c r="E5" s="72">
        <f t="shared" si="0"/>
        <v>130605909.11999989</v>
      </c>
      <c r="F5" s="72">
        <f t="shared" si="0"/>
        <v>126508409.11999989</v>
      </c>
      <c r="G5" s="72">
        <f t="shared" si="1"/>
        <v>122410909.11999989</v>
      </c>
      <c r="H5" s="72">
        <f t="shared" si="2"/>
        <v>118313409.11999989</v>
      </c>
      <c r="I5" s="72">
        <f t="shared" si="3"/>
        <v>114215909.11999989</v>
      </c>
      <c r="J5" s="72">
        <f t="shared" si="3"/>
        <v>110118409.11999989</v>
      </c>
      <c r="K5" s="72">
        <f t="shared" si="3"/>
        <v>106020909.11999989</v>
      </c>
      <c r="L5" s="72">
        <f t="shared" si="4"/>
        <v>101923409.11999989</v>
      </c>
      <c r="M5" s="72">
        <f t="shared" si="5"/>
        <v>97825909.119999886</v>
      </c>
      <c r="N5" s="72">
        <f t="shared" si="6"/>
        <v>93728409.119999886</v>
      </c>
    </row>
    <row r="6" spans="1:14" ht="13.8" x14ac:dyDescent="0.25">
      <c r="A6">
        <v>2021</v>
      </c>
      <c r="B6" s="30">
        <f>N5-4097500</f>
        <v>89630909.119999886</v>
      </c>
      <c r="C6" s="72">
        <f t="shared" si="0"/>
        <v>85533409.119999886</v>
      </c>
      <c r="D6" s="72">
        <f t="shared" si="0"/>
        <v>81435909.119999886</v>
      </c>
      <c r="E6" s="72">
        <f t="shared" si="0"/>
        <v>77338409.119999886</v>
      </c>
      <c r="F6" s="72">
        <f t="shared" si="0"/>
        <v>73240909.119999886</v>
      </c>
      <c r="G6" s="72">
        <f t="shared" si="1"/>
        <v>69143409.119999886</v>
      </c>
      <c r="H6" s="72">
        <f t="shared" si="2"/>
        <v>65045909.119999886</v>
      </c>
      <c r="I6" s="72">
        <f t="shared" si="3"/>
        <v>60948409.119999886</v>
      </c>
      <c r="J6" s="72">
        <f t="shared" si="3"/>
        <v>56850909.119999886</v>
      </c>
      <c r="K6" s="72">
        <f t="shared" si="3"/>
        <v>52753409.119999886</v>
      </c>
      <c r="L6" s="72">
        <f t="shared" si="4"/>
        <v>48655909.119999886</v>
      </c>
      <c r="M6" s="72">
        <f t="shared" si="5"/>
        <v>44558409.119999886</v>
      </c>
      <c r="N6" s="72">
        <f t="shared" si="6"/>
        <v>40460909.119999886</v>
      </c>
    </row>
    <row r="7" spans="1:14" ht="13.8" x14ac:dyDescent="0.25">
      <c r="A7">
        <v>2022</v>
      </c>
      <c r="B7" s="30">
        <f>N6-4097500</f>
        <v>36363409.119999886</v>
      </c>
      <c r="C7" s="72">
        <f t="shared" si="0"/>
        <v>32265909.119999886</v>
      </c>
      <c r="D7" s="72">
        <f t="shared" si="0"/>
        <v>28168409.119999886</v>
      </c>
      <c r="E7" s="72">
        <f t="shared" si="0"/>
        <v>24070909.119999886</v>
      </c>
      <c r="F7" s="72">
        <f t="shared" si="0"/>
        <v>19973409.119999886</v>
      </c>
      <c r="G7" s="72">
        <f t="shared" si="1"/>
        <v>15875909.119999886</v>
      </c>
      <c r="H7" s="72">
        <f t="shared" si="2"/>
        <v>11778409.119999886</v>
      </c>
      <c r="I7" s="72">
        <f t="shared" si="3"/>
        <v>7680909.1199998856</v>
      </c>
      <c r="J7" s="72">
        <f t="shared" si="3"/>
        <v>3583409.1199998856</v>
      </c>
      <c r="K7" s="72">
        <f t="shared" si="3"/>
        <v>-514090.88000011444</v>
      </c>
      <c r="L7" s="72">
        <f t="shared" si="4"/>
        <v>-4611590.8800001144</v>
      </c>
      <c r="M7" s="72">
        <f t="shared" si="5"/>
        <v>-8709090.8800001144</v>
      </c>
      <c r="N7" s="72">
        <f t="shared" si="6"/>
        <v>-12806590.880000114</v>
      </c>
    </row>
    <row r="15" spans="1:14" x14ac:dyDescent="0.25">
      <c r="B15">
        <v>8117</v>
      </c>
      <c r="C15" s="72">
        <v>3931246266.7199998</v>
      </c>
    </row>
    <row r="16" spans="1:14" x14ac:dyDescent="0.25">
      <c r="B16">
        <v>8118</v>
      </c>
      <c r="C16" s="72">
        <v>-3938945821.7199998</v>
      </c>
    </row>
    <row r="17" spans="2:3" x14ac:dyDescent="0.25">
      <c r="B17">
        <v>8124</v>
      </c>
      <c r="C17" s="72">
        <v>-49170000</v>
      </c>
    </row>
    <row r="18" spans="2:3" x14ac:dyDescent="0.25">
      <c r="B18">
        <v>8901</v>
      </c>
      <c r="C18" s="72">
        <v>0</v>
      </c>
    </row>
    <row r="19" spans="2:3" x14ac:dyDescent="0.25">
      <c r="C19" s="72">
        <f>SUM(C15:C18)</f>
        <v>-56869555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G19"/>
  <sheetViews>
    <sheetView workbookViewId="0">
      <selection activeCell="F17" sqref="F17"/>
    </sheetView>
  </sheetViews>
  <sheetFormatPr defaultRowHeight="12.6" x14ac:dyDescent="0.25"/>
  <cols>
    <col min="5" max="5" width="16.875" bestFit="1" customWidth="1"/>
    <col min="6" max="6" width="15.875" bestFit="1" customWidth="1"/>
    <col min="7" max="7" width="17.625" bestFit="1" customWidth="1"/>
    <col min="10" max="10" width="12.125" bestFit="1" customWidth="1"/>
  </cols>
  <sheetData>
    <row r="4" spans="4:7" x14ac:dyDescent="0.25">
      <c r="D4">
        <v>0</v>
      </c>
      <c r="E4" s="70">
        <v>348858980.06999999</v>
      </c>
      <c r="F4" s="70">
        <v>83610279.420000002</v>
      </c>
      <c r="G4" s="70">
        <f t="shared" ref="G4:G10" si="0">SUM(E4:F4)</f>
        <v>432469259.49000001</v>
      </c>
    </row>
    <row r="5" spans="4:7" x14ac:dyDescent="0.25">
      <c r="G5" s="70">
        <f t="shared" si="0"/>
        <v>0</v>
      </c>
    </row>
    <row r="6" spans="4:7" x14ac:dyDescent="0.25">
      <c r="D6">
        <v>6</v>
      </c>
      <c r="E6" s="70">
        <v>352812718.29000002</v>
      </c>
      <c r="F6" s="70">
        <v>84496351.099999994</v>
      </c>
      <c r="G6" s="70">
        <f t="shared" si="0"/>
        <v>437309069.38999999</v>
      </c>
    </row>
    <row r="7" spans="4:7" x14ac:dyDescent="0.25">
      <c r="E7" s="70">
        <f>E6-E4</f>
        <v>3953738.2200000286</v>
      </c>
      <c r="F7" s="70">
        <f>F6-F4</f>
        <v>886071.67999999225</v>
      </c>
      <c r="G7" s="70">
        <f t="shared" si="0"/>
        <v>4839809.9000000209</v>
      </c>
    </row>
    <row r="8" spans="4:7" x14ac:dyDescent="0.25">
      <c r="D8">
        <v>7</v>
      </c>
      <c r="E8" s="72">
        <v>353570232.26999998</v>
      </c>
      <c r="F8" s="72">
        <v>84756346.969999999</v>
      </c>
      <c r="G8" s="70">
        <f t="shared" si="0"/>
        <v>438326579.24000001</v>
      </c>
    </row>
    <row r="9" spans="4:7" x14ac:dyDescent="0.25">
      <c r="E9" s="70">
        <f>E8-E4</f>
        <v>4711252.1999999881</v>
      </c>
      <c r="F9" s="70">
        <f>F8-F4</f>
        <v>1146067.549999997</v>
      </c>
      <c r="G9" s="70">
        <f t="shared" si="0"/>
        <v>5857319.7499999851</v>
      </c>
    </row>
    <row r="10" spans="4:7" x14ac:dyDescent="0.25">
      <c r="D10">
        <v>8</v>
      </c>
      <c r="E10" s="72">
        <v>353893664.56</v>
      </c>
      <c r="F10" s="72">
        <v>84861792.049999997</v>
      </c>
      <c r="G10" s="70">
        <f t="shared" si="0"/>
        <v>438755456.61000001</v>
      </c>
    </row>
    <row r="11" spans="4:7" x14ac:dyDescent="0.25">
      <c r="E11" s="70">
        <f>E10-E4</f>
        <v>5034684.4900000095</v>
      </c>
      <c r="F11" s="70">
        <f>F10-F4</f>
        <v>1251512.6299999952</v>
      </c>
      <c r="G11" s="70">
        <f>G10-G4</f>
        <v>6286197.1200000048</v>
      </c>
    </row>
    <row r="12" spans="4:7" x14ac:dyDescent="0.25">
      <c r="E12">
        <v>354628923</v>
      </c>
      <c r="F12">
        <v>85401052.629999995</v>
      </c>
      <c r="G12" s="70">
        <f>SUM(E12:F12)</f>
        <v>440029975.63</v>
      </c>
    </row>
    <row r="13" spans="4:7" x14ac:dyDescent="0.25">
      <c r="D13">
        <v>9</v>
      </c>
      <c r="E13" s="70">
        <f>E12-E4</f>
        <v>5769942.9300000072</v>
      </c>
      <c r="F13" s="70">
        <f>F12-F4</f>
        <v>1790773.2099999934</v>
      </c>
      <c r="G13" s="70">
        <f>SUM(E13:F13)</f>
        <v>7560716.1400000006</v>
      </c>
    </row>
    <row r="14" spans="4:7" x14ac:dyDescent="0.25">
      <c r="E14" s="72">
        <v>355390360.97000003</v>
      </c>
      <c r="F14" s="72">
        <v>85817755.780000001</v>
      </c>
      <c r="G14" s="70">
        <f>SUM(E14:F14)</f>
        <v>441208116.75</v>
      </c>
    </row>
    <row r="15" spans="4:7" x14ac:dyDescent="0.25">
      <c r="D15">
        <v>10</v>
      </c>
      <c r="E15" s="70">
        <f>E14-E4</f>
        <v>6531380.9000000358</v>
      </c>
      <c r="F15" s="70">
        <f>F14-F4</f>
        <v>2207476.3599999994</v>
      </c>
      <c r="G15" s="70">
        <f>G14-G4</f>
        <v>8738857.2599999905</v>
      </c>
    </row>
    <row r="16" spans="4:7" x14ac:dyDescent="0.25">
      <c r="E16" s="72">
        <v>356128720.88999999</v>
      </c>
      <c r="F16" s="72">
        <v>85989872.269999996</v>
      </c>
      <c r="G16" s="72">
        <f>SUM(E16:F16)</f>
        <v>442118593.15999997</v>
      </c>
    </row>
    <row r="17" spans="4:7" x14ac:dyDescent="0.25">
      <c r="D17">
        <v>11</v>
      </c>
      <c r="E17" s="70">
        <f>E16-E4</f>
        <v>7269740.8199999928</v>
      </c>
      <c r="F17" s="70">
        <f t="shared" ref="F17:G17" si="1">F16-F4</f>
        <v>2379592.849999994</v>
      </c>
      <c r="G17" s="70">
        <f t="shared" si="1"/>
        <v>9649333.6699999571</v>
      </c>
    </row>
    <row r="19" spans="4:7" x14ac:dyDescent="0.25">
      <c r="D19">
        <v>12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Výběrové porovnání dat</vt:lpstr>
      <vt:lpstr>List2</vt:lpstr>
      <vt:lpstr>List1</vt:lpstr>
      <vt:lpstr>'Výběrové porovnání dat'!Print_Area</vt:lpstr>
      <vt:lpstr>'Výběrové porovnání dat'!Print_Titles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2015-07-15T08:36:47Z</dcterms:created>
  <dcterms:modified xsi:type="dcterms:W3CDTF">2018-05-30T06:53:01Z</dcterms:modified>
</cp:coreProperties>
</file>