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32"/>
  </bookViews>
  <sheets>
    <sheet name="Vyhodnocení hospodaření PO" sheetId="3" r:id="rId1"/>
    <sheet name="Vyhod. hosp. PO -střediska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4" l="1"/>
  <c r="R11" i="4"/>
  <c r="M11" i="4"/>
  <c r="H11" i="4"/>
  <c r="R10" i="4"/>
  <c r="M10" i="4"/>
  <c r="H10" i="4"/>
  <c r="R9" i="4"/>
  <c r="M9" i="4"/>
  <c r="H9" i="4"/>
  <c r="R8" i="4"/>
  <c r="M8" i="4"/>
  <c r="H8" i="4"/>
  <c r="R7" i="4"/>
  <c r="M7" i="4"/>
  <c r="H7" i="4"/>
  <c r="R6" i="4"/>
  <c r="M6" i="4"/>
  <c r="H6" i="4"/>
  <c r="E6" i="4"/>
  <c r="R5" i="4"/>
  <c r="M5" i="4"/>
  <c r="H5" i="4"/>
  <c r="E5" i="4"/>
  <c r="R4" i="4"/>
  <c r="M4" i="4"/>
  <c r="G38" i="3" l="1"/>
  <c r="U20" i="4" l="1"/>
  <c r="S4" i="4"/>
  <c r="L42" i="3" l="1"/>
  <c r="I42" i="3"/>
  <c r="F42" i="3"/>
  <c r="L41" i="3"/>
  <c r="I41" i="3"/>
  <c r="F41" i="3"/>
  <c r="L40" i="3"/>
  <c r="I40" i="3"/>
  <c r="F40" i="3"/>
  <c r="K39" i="3"/>
  <c r="J39" i="3"/>
  <c r="L39" i="3" s="1"/>
  <c r="H39" i="3"/>
  <c r="G39" i="3"/>
  <c r="I39" i="3" s="1"/>
  <c r="F39" i="3"/>
  <c r="E39" i="3"/>
  <c r="D39" i="3"/>
  <c r="L37" i="3"/>
  <c r="I37" i="3"/>
  <c r="F37" i="3"/>
  <c r="K35" i="3"/>
  <c r="J35" i="3"/>
  <c r="H35" i="3"/>
  <c r="G35" i="3"/>
  <c r="I35" i="3" s="1"/>
  <c r="E35" i="3"/>
  <c r="D35" i="3"/>
  <c r="F35" i="3" s="1"/>
  <c r="I34" i="3"/>
  <c r="H34" i="3"/>
  <c r="G34" i="3"/>
  <c r="E34" i="3"/>
  <c r="D34" i="3"/>
  <c r="F34" i="3" s="1"/>
  <c r="L33" i="3"/>
  <c r="I33" i="3"/>
  <c r="F33" i="3"/>
  <c r="L32" i="3"/>
  <c r="I32" i="3"/>
  <c r="F32" i="3"/>
  <c r="L31" i="3"/>
  <c r="I31" i="3"/>
  <c r="F31" i="3"/>
  <c r="L30" i="3"/>
  <c r="I30" i="3"/>
  <c r="F30" i="3"/>
  <c r="L29" i="3"/>
  <c r="I29" i="3"/>
  <c r="F29" i="3"/>
  <c r="L28" i="3"/>
  <c r="I28" i="3"/>
  <c r="F28" i="3"/>
  <c r="L27" i="3"/>
  <c r="I27" i="3"/>
  <c r="F27" i="3"/>
  <c r="L26" i="3"/>
  <c r="I26" i="3"/>
  <c r="F26" i="3"/>
  <c r="L25" i="3"/>
  <c r="I25" i="3"/>
  <c r="F25" i="3"/>
  <c r="L24" i="3"/>
  <c r="I24" i="3"/>
  <c r="F24" i="3"/>
  <c r="L23" i="3"/>
  <c r="I23" i="3"/>
  <c r="F23" i="3"/>
  <c r="K22" i="3"/>
  <c r="J22" i="3"/>
  <c r="H22" i="3"/>
  <c r="H36" i="3" s="1"/>
  <c r="H38" i="3" s="1"/>
  <c r="G22" i="3"/>
  <c r="E22" i="3"/>
  <c r="E36" i="3" s="1"/>
  <c r="E38" i="3" s="1"/>
  <c r="D22" i="3"/>
  <c r="F22" i="3" s="1"/>
  <c r="L21" i="3"/>
  <c r="I21" i="3"/>
  <c r="F21" i="3"/>
  <c r="L20" i="3"/>
  <c r="I20" i="3"/>
  <c r="F20" i="3"/>
  <c r="L19" i="3"/>
  <c r="I19" i="3"/>
  <c r="F19" i="3"/>
  <c r="L18" i="3"/>
  <c r="I18" i="3"/>
  <c r="F18" i="3"/>
  <c r="L17" i="3"/>
  <c r="I17" i="3"/>
  <c r="F17" i="3"/>
  <c r="L16" i="3"/>
  <c r="I16" i="3"/>
  <c r="F16" i="3"/>
  <c r="L15" i="3"/>
  <c r="I15" i="3"/>
  <c r="F15" i="3"/>
  <c r="L14" i="3"/>
  <c r="I14" i="3"/>
  <c r="F14" i="3"/>
  <c r="L35" i="3" l="1"/>
  <c r="G36" i="3"/>
  <c r="I36" i="3" s="1"/>
  <c r="K36" i="3"/>
  <c r="K38" i="3" s="1"/>
  <c r="J36" i="3"/>
  <c r="L22" i="3"/>
  <c r="L34" i="3"/>
  <c r="D36" i="3"/>
  <c r="I22" i="3"/>
  <c r="L36" i="3" l="1"/>
  <c r="I38" i="3"/>
  <c r="J38" i="3"/>
  <c r="L38" i="3" s="1"/>
  <c r="F36" i="3"/>
  <c r="D38" i="3"/>
  <c r="F38" i="3" s="1"/>
  <c r="R54" i="3" l="1"/>
  <c r="R52" i="3"/>
  <c r="R49" i="3"/>
  <c r="K55" i="3"/>
  <c r="K50" i="3"/>
  <c r="D60" i="3"/>
  <c r="D53" i="3"/>
  <c r="R20" i="4"/>
  <c r="Q20" i="4"/>
  <c r="P20" i="4"/>
  <c r="O20" i="4"/>
  <c r="N20" i="4"/>
  <c r="M20" i="4"/>
  <c r="L20" i="4"/>
  <c r="K20" i="4"/>
  <c r="J20" i="4"/>
  <c r="G20" i="4"/>
  <c r="F20" i="4"/>
  <c r="E20" i="4"/>
  <c r="D20" i="4"/>
  <c r="C20" i="4"/>
  <c r="S19" i="4"/>
  <c r="I19" i="4"/>
  <c r="T19" i="4" s="1"/>
  <c r="V19" i="4" s="1"/>
  <c r="S18" i="4"/>
  <c r="I18" i="4"/>
  <c r="T18" i="4" s="1"/>
  <c r="V18" i="4" s="1"/>
  <c r="S17" i="4"/>
  <c r="I17" i="4"/>
  <c r="T17" i="4" s="1"/>
  <c r="V17" i="4" s="1"/>
  <c r="S16" i="4"/>
  <c r="I16" i="4"/>
  <c r="T16" i="4" s="1"/>
  <c r="V16" i="4" s="1"/>
  <c r="S15" i="4"/>
  <c r="I15" i="4"/>
  <c r="S14" i="4"/>
  <c r="I14" i="4"/>
  <c r="T14" i="4" s="1"/>
  <c r="V14" i="4" s="1"/>
  <c r="S13" i="4"/>
  <c r="I13" i="4"/>
  <c r="S12" i="4"/>
  <c r="I12" i="4"/>
  <c r="S11" i="4"/>
  <c r="I11" i="4"/>
  <c r="S10" i="4"/>
  <c r="I10" i="4"/>
  <c r="S9" i="4"/>
  <c r="I9" i="4"/>
  <c r="S8" i="4"/>
  <c r="I8" i="4"/>
  <c r="S7" i="4"/>
  <c r="S6" i="4"/>
  <c r="I6" i="4"/>
  <c r="S5" i="4"/>
  <c r="I5" i="4"/>
  <c r="I4" i="4"/>
  <c r="T12" i="4" l="1"/>
  <c r="V12" i="4" s="1"/>
  <c r="T15" i="4"/>
  <c r="V15" i="4" s="1"/>
  <c r="T11" i="4"/>
  <c r="V11" i="4" s="1"/>
  <c r="T10" i="4"/>
  <c r="V10" i="4" s="1"/>
  <c r="T9" i="4"/>
  <c r="V9" i="4" s="1"/>
  <c r="T8" i="4"/>
  <c r="V8" i="4" s="1"/>
  <c r="T6" i="4"/>
  <c r="V6" i="4" s="1"/>
  <c r="T5" i="4"/>
  <c r="V5" i="4" s="1"/>
  <c r="S20" i="4"/>
  <c r="T13" i="4"/>
  <c r="V13" i="4" s="1"/>
  <c r="K57" i="3"/>
  <c r="D62" i="3"/>
  <c r="T4" i="4"/>
  <c r="V4" i="4" s="1"/>
  <c r="M15" i="3" l="1"/>
  <c r="M16" i="3"/>
  <c r="M17" i="3"/>
  <c r="M18" i="3"/>
  <c r="M19" i="3"/>
  <c r="M20" i="3"/>
  <c r="M21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42" i="3" l="1"/>
  <c r="M41" i="3"/>
  <c r="M40" i="3"/>
  <c r="M14" i="3"/>
  <c r="M39" i="3" l="1"/>
  <c r="M22" i="3" l="1"/>
  <c r="M37" i="3"/>
  <c r="M38" i="3" l="1"/>
  <c r="M36" i="3"/>
  <c r="H20" i="4"/>
  <c r="I7" i="4"/>
  <c r="I20" i="4" s="1"/>
  <c r="T20" i="4" s="1"/>
  <c r="V20" i="4" s="1"/>
  <c r="T7" i="4" l="1"/>
  <c r="V7" i="4" s="1"/>
</calcChain>
</file>

<file path=xl/sharedStrings.xml><?xml version="1.0" encoding="utf-8"?>
<sst xmlns="http://schemas.openxmlformats.org/spreadsheetml/2006/main" count="166" uniqueCount="138">
  <si>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</si>
  <si>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</si>
  <si>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</si>
  <si>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</si>
  <si>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</si>
  <si>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</si>
  <si>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</si>
  <si>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</si>
  <si>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</si>
  <si>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</si>
  <si>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</si>
  <si>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</si>
  <si>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</si>
  <si>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</si>
  <si>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</si>
  <si>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</si>
  <si>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</si>
  <si>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</si>
  <si>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</si>
  <si>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</si>
  <si>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</si>
  <si>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</si>
  <si>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</si>
  <si>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</si>
  <si>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</si>
  <si>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</si>
  <si>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</si>
  <si>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</si>
  <si>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</si>
  <si>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</si>
  <si>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</si>
  <si>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</si>
  <si>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</si>
  <si>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</si>
  <si>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</si>
  <si>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</si>
  <si>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</si>
  <si>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</si>
  <si>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</si>
  <si>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</si>
  <si>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</si>
  <si>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</si>
  <si>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</si>
  <si>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</si>
  <si>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</si>
  <si>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</si>
  <si>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</si>
  <si>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</si>
  <si>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</si>
  <si>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</si>
  <si>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</si>
  <si>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</si>
  <si>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</si>
  <si>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</si>
  <si>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</si>
  <si>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</si>
  <si>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</si>
  <si>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</si>
  <si>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</si>
  <si>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</si>
  <si>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</si>
  <si>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</si>
  <si>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</si>
  <si>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</si>
  <si>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</si>
  <si>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</si>
  <si>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</si>
  <si>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</si>
  <si>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</si>
  <si>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</si>
  <si>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</si>
  <si>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</si>
  <si>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</si>
  <si>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</si>
  <si>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</si>
  <si>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</si>
  <si>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</si>
  <si>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</si>
  <si>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</si>
  <si>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</si>
  <si>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</si>
  <si>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</si>
  <si>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</si>
  <si>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</si>
  <si>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</si>
  <si>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Název organizace:</t>
  </si>
  <si>
    <t>IČO:</t>
  </si>
  <si>
    <t>Sídlo:</t>
  </si>
  <si>
    <t>sl.4</t>
  </si>
  <si>
    <t>sl.3+sl.4</t>
  </si>
  <si>
    <t>Příspěvek zřizovatele - provozní</t>
  </si>
  <si>
    <t>Příspěvek zřizovatele - účelový (s vyúčtováním)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</si>
  <si>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</si>
  <si>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</si>
  <si>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</si>
  <si>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</si>
  <si>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</si>
  <si>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</si>
  <si>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</si>
  <si>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</si>
  <si>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</si>
  <si>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</si>
  <si>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</si>
  <si>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</si>
  <si>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</si>
  <si>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</si>
  <si>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</si>
  <si>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Rozpočet na rok X</t>
  </si>
  <si>
    <t>Poslední upr rozpočet X</t>
  </si>
  <si>
    <t>Skutečnost X</t>
  </si>
  <si>
    <t>v %</t>
  </si>
  <si>
    <t>SK X / UR X</t>
  </si>
  <si>
    <t>Tržby  601-609</t>
  </si>
  <si>
    <t>Středisko</t>
  </si>
  <si>
    <t>Příspěvek zřizovatele - pouze účelový (s vyúčtováním)</t>
  </si>
  <si>
    <t>Provozní dotace z jiných zdrojů (jiní poskytovatelé než SMCH)</t>
  </si>
  <si>
    <t xml:space="preserve">Stav investičního fondu </t>
  </si>
  <si>
    <t xml:space="preserve">Stav rezervního fondu </t>
  </si>
  <si>
    <t>Plán fondu odměn</t>
  </si>
  <si>
    <t>Provozní dotace z jiných zdrojů (mimo SMCH)</t>
  </si>
  <si>
    <t>Sociální služby Chomutov, příspěvková organizace</t>
  </si>
  <si>
    <t>Písečná 5030, 430 04 Chomutov</t>
  </si>
  <si>
    <t>Jméno: Ing. Ivana Vomáčková, finanční manažerka</t>
  </si>
  <si>
    <t>Jméno: Mgr. Alena Tölgová, ředitelka</t>
  </si>
  <si>
    <t>DpS Písečná</t>
  </si>
  <si>
    <t>CDS Bezručova</t>
  </si>
  <si>
    <t>DOZP Písečná</t>
  </si>
  <si>
    <t>DSOZP Písečná</t>
  </si>
  <si>
    <t>Jesle Písečná</t>
  </si>
  <si>
    <t>DS Písečná</t>
  </si>
  <si>
    <t>AD Písečná</t>
  </si>
  <si>
    <t>SP Písečná</t>
  </si>
  <si>
    <t>ředitelství</t>
  </si>
  <si>
    <t>DÚ</t>
  </si>
  <si>
    <t>ostatní činnosti</t>
  </si>
  <si>
    <t>Vyhodnocení hospodaření podle rozpočtu za rok 2017</t>
  </si>
  <si>
    <t>Sestavil dne: 26. 2. 2018</t>
  </si>
  <si>
    <t>Schválil dne: 26. 2.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</si>
</sst>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3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23" xfId="0" applyBorder="1"/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/>
    <xf numFmtId="0" fontId="4" fillId="0" borderId="27" xfId="0" applyFont="1" applyBorder="1"/>
    <xf numFmtId="0" fontId="0" fillId="0" borderId="27" xfId="0" applyBorder="1"/>
    <xf numFmtId="0" fontId="0" fillId="0" borderId="27" xfId="0" applyBorder="1" applyAlignment="1">
      <alignment horizontal="left" indent="5"/>
    </xf>
    <xf numFmtId="0" fontId="1" fillId="0" borderId="27" xfId="0" applyFont="1" applyBorder="1"/>
    <xf numFmtId="0" fontId="1" fillId="0" borderId="30" xfId="0" applyFont="1" applyBorder="1" applyAlignment="1">
      <alignment horizontal="center"/>
    </xf>
    <xf numFmtId="0" fontId="1" fillId="0" borderId="5" xfId="0" applyFont="1" applyBorder="1"/>
    <xf numFmtId="164" fontId="2" fillId="0" borderId="20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0" fillId="0" borderId="31" xfId="0" applyNumberFormat="1" applyBorder="1"/>
    <xf numFmtId="164" fontId="0" fillId="0" borderId="32" xfId="0" applyNumberFormat="1" applyBorder="1"/>
    <xf numFmtId="164" fontId="2" fillId="0" borderId="33" xfId="0" applyNumberFormat="1" applyFont="1" applyBorder="1" applyAlignment="1">
      <alignment horizontal="right"/>
    </xf>
    <xf numFmtId="0" fontId="1" fillId="0" borderId="29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4" xfId="0" applyNumberFormat="1" applyFont="1" applyBorder="1" applyAlignment="1">
      <alignment horizontal="right"/>
    </xf>
    <xf numFmtId="0" fontId="1" fillId="0" borderId="25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9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5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0" fontId="0" fillId="0" borderId="0" xfId="0" applyNumberFormat="1" applyFont="1"/>
    <xf numFmtId="10" fontId="1" fillId="0" borderId="25" xfId="0" applyNumberFormat="1" applyFont="1" applyBorder="1" applyAlignment="1">
      <alignment horizontal="center"/>
    </xf>
    <xf numFmtId="10" fontId="1" fillId="0" borderId="28" xfId="0" applyNumberFormat="1" applyFont="1" applyBorder="1" applyAlignment="1">
      <alignment horizontal="center" vertical="center" wrapText="1"/>
    </xf>
    <xf numFmtId="10" fontId="2" fillId="0" borderId="25" xfId="0" applyNumberFormat="1" applyFont="1" applyBorder="1" applyAlignment="1">
      <alignment horizontal="center"/>
    </xf>
    <xf numFmtId="10" fontId="6" fillId="0" borderId="27" xfId="0" applyNumberFormat="1" applyFont="1" applyBorder="1"/>
    <xf numFmtId="10" fontId="6" fillId="0" borderId="25" xfId="0" applyNumberFormat="1" applyFont="1" applyBorder="1"/>
    <xf numFmtId="10" fontId="6" fillId="0" borderId="29" xfId="0" applyNumberFormat="1" applyFont="1" applyBorder="1"/>
    <xf numFmtId="10" fontId="6" fillId="0" borderId="35" xfId="0" applyNumberFormat="1" applyFont="1" applyBorder="1"/>
    <xf numFmtId="0" fontId="7" fillId="0" borderId="27" xfId="0" applyFont="1" applyBorder="1"/>
    <xf numFmtId="0" fontId="7" fillId="0" borderId="27" xfId="0" applyFont="1" applyBorder="1" applyAlignment="1">
      <alignment horizontal="left" indent="5"/>
    </xf>
    <xf numFmtId="14" fontId="0" fillId="0" borderId="0" xfId="0" applyNumberForma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0" fillId="0" borderId="31" xfId="0" applyBorder="1" applyAlignment="1">
      <alignment horizontal="center" textRotation="90" wrapText="1"/>
    </xf>
    <xf numFmtId="0" fontId="7" fillId="0" borderId="32" xfId="0" applyFont="1" applyBorder="1" applyAlignment="1">
      <alignment horizontal="center" textRotation="90" wrapText="1"/>
    </xf>
    <xf numFmtId="0" fontId="4" fillId="0" borderId="32" xfId="0" applyFont="1" applyBorder="1" applyAlignment="1">
      <alignment horizontal="center" textRotation="90" wrapText="1"/>
    </xf>
    <xf numFmtId="0" fontId="0" fillId="0" borderId="32" xfId="0" applyBorder="1" applyAlignment="1">
      <alignment horizontal="center" textRotation="90" wrapText="1"/>
    </xf>
    <xf numFmtId="0" fontId="1" fillId="2" borderId="5" xfId="0" applyFont="1" applyFill="1" applyBorder="1" applyAlignment="1">
      <alignment horizontal="center" textRotation="90" wrapText="1"/>
    </xf>
    <xf numFmtId="0" fontId="0" fillId="0" borderId="32" xfId="0" applyFill="1" applyBorder="1" applyAlignment="1">
      <alignment horizontal="center" textRotation="90" wrapText="1"/>
    </xf>
    <xf numFmtId="0" fontId="0" fillId="0" borderId="36" xfId="0" applyFill="1" applyBorder="1" applyAlignment="1">
      <alignment horizontal="center" textRotation="90" wrapText="1"/>
    </xf>
    <xf numFmtId="0" fontId="1" fillId="3" borderId="5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0" fillId="0" borderId="0" xfId="0" applyAlignment="1">
      <alignment textRotation="90"/>
    </xf>
    <xf numFmtId="0" fontId="0" fillId="0" borderId="37" xfId="0" applyBorder="1"/>
    <xf numFmtId="164" fontId="0" fillId="0" borderId="20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164" fontId="0" fillId="2" borderId="25" xfId="0" applyNumberFormat="1" applyFill="1" applyBorder="1"/>
    <xf numFmtId="164" fontId="0" fillId="2" borderId="37" xfId="0" applyNumberFormat="1" applyFill="1" applyBorder="1"/>
    <xf numFmtId="164" fontId="0" fillId="3" borderId="37" xfId="0" applyNumberFormat="1" applyFill="1" applyBorder="1"/>
    <xf numFmtId="164" fontId="1" fillId="4" borderId="37" xfId="0" applyNumberFormat="1" applyFont="1" applyFill="1" applyBorder="1"/>
    <xf numFmtId="164" fontId="0" fillId="0" borderId="2" xfId="0" applyNumberFormat="1" applyBorder="1"/>
    <xf numFmtId="0" fontId="0" fillId="0" borderId="28" xfId="0" applyBorder="1"/>
    <xf numFmtId="164" fontId="0" fillId="0" borderId="38" xfId="0" applyNumberFormat="1" applyBorder="1"/>
    <xf numFmtId="164" fontId="0" fillId="0" borderId="39" xfId="0" applyNumberFormat="1" applyBorder="1"/>
    <xf numFmtId="164" fontId="0" fillId="0" borderId="22" xfId="0" applyNumberFormat="1" applyBorder="1"/>
    <xf numFmtId="164" fontId="0" fillId="3" borderId="26" xfId="0" applyNumberFormat="1" applyFill="1" applyBorder="1"/>
    <xf numFmtId="164" fontId="1" fillId="4" borderId="26" xfId="0" applyNumberFormat="1" applyFont="1" applyFill="1" applyBorder="1"/>
    <xf numFmtId="164" fontId="0" fillId="0" borderId="40" xfId="0" applyNumberFormat="1" applyBorder="1"/>
    <xf numFmtId="164" fontId="0" fillId="2" borderId="5" xfId="0" applyNumberFormat="1" applyFill="1" applyBorder="1"/>
    <xf numFmtId="164" fontId="0" fillId="3" borderId="5" xfId="0" applyNumberFormat="1" applyFill="1" applyBorder="1"/>
    <xf numFmtId="164" fontId="1" fillId="4" borderId="5" xfId="0" applyNumberFormat="1" applyFont="1" applyFill="1" applyBorder="1"/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8" fillId="5" borderId="27" xfId="0" applyFont="1" applyFill="1" applyBorder="1"/>
    <xf numFmtId="0" fontId="7" fillId="0" borderId="27" xfId="0" applyFont="1" applyBorder="1" applyAlignment="1">
      <alignment horizontal="left"/>
    </xf>
    <xf numFmtId="0" fontId="8" fillId="5" borderId="5" xfId="0" applyFont="1" applyFill="1" applyBorder="1" applyAlignment="1">
      <alignment horizontal="center" textRotation="90" wrapText="1"/>
    </xf>
    <xf numFmtId="164" fontId="0" fillId="5" borderId="37" xfId="0" applyNumberFormat="1" applyFill="1" applyBorder="1"/>
    <xf numFmtId="164" fontId="0" fillId="5" borderId="27" xfId="0" applyNumberFormat="1" applyFill="1" applyBorder="1"/>
    <xf numFmtId="164" fontId="0" fillId="5" borderId="28" xfId="0" applyNumberFormat="1" applyFill="1" applyBorder="1"/>
    <xf numFmtId="164" fontId="1" fillId="2" borderId="1" xfId="0" applyNumberFormat="1" applyFont="1" applyFill="1" applyBorder="1"/>
    <xf numFmtId="164" fontId="0" fillId="5" borderId="5" xfId="0" applyNumberFormat="1" applyFill="1" applyBorder="1"/>
    <xf numFmtId="3" fontId="0" fillId="0" borderId="1" xfId="0" applyNumberFormat="1" applyBorder="1"/>
    <xf numFmtId="3" fontId="1" fillId="0" borderId="1" xfId="0" applyNumberFormat="1" applyFont="1" applyBorder="1"/>
    <xf numFmtId="3" fontId="0" fillId="0" borderId="1" xfId="0" applyNumberFormat="1" applyFont="1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10" fontId="6" fillId="0" borderId="27" xfId="0" applyNumberFormat="1" applyFont="1" applyFill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Normal="100" workbookViewId="0">
      <selection activeCell="I31" sqref="I31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50.5546875" bestFit="1" customWidth="1"/>
    <col min="4" max="12" width="11.6640625" customWidth="1"/>
    <col min="13" max="13" width="11.6640625" style="49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135</v>
      </c>
    </row>
    <row r="4" spans="2:13" ht="15" x14ac:dyDescent="0.25"/>
    <row r="5" spans="2:13" x14ac:dyDescent="0.3">
      <c r="B5" t="s">
        <v>85</v>
      </c>
      <c r="D5" t="s">
        <v>120</v>
      </c>
    </row>
    <row r="6" spans="2:13" x14ac:dyDescent="0.3">
      <c r="B6" t="s">
        <v>86</v>
      </c>
      <c r="D6">
        <v>46789944</v>
      </c>
    </row>
    <row r="7" spans="2:13" x14ac:dyDescent="0.3">
      <c r="B7" t="s">
        <v>87</v>
      </c>
      <c r="D7" t="s">
        <v>121</v>
      </c>
    </row>
    <row r="8" spans="2:13" ht="15" x14ac:dyDescent="0.25"/>
    <row r="9" spans="2:13" x14ac:dyDescent="0.3">
      <c r="B9" s="1" t="s">
        <v>68</v>
      </c>
    </row>
    <row r="10" spans="2:13" ht="15.75" thickBot="1" x14ac:dyDescent="0.3">
      <c r="E10">
        <v>2017</v>
      </c>
      <c r="H10">
        <v>2017</v>
      </c>
      <c r="K10" s="59">
        <v>43100</v>
      </c>
    </row>
    <row r="11" spans="2:13" x14ac:dyDescent="0.3">
      <c r="B11" s="121" t="s">
        <v>40</v>
      </c>
      <c r="C11" s="123" t="s">
        <v>41</v>
      </c>
      <c r="D11" s="125" t="s">
        <v>107</v>
      </c>
      <c r="E11" s="126"/>
      <c r="F11" s="127"/>
      <c r="G11" s="128" t="s">
        <v>108</v>
      </c>
      <c r="H11" s="126"/>
      <c r="I11" s="129"/>
      <c r="J11" s="125" t="s">
        <v>109</v>
      </c>
      <c r="K11" s="126"/>
      <c r="L11" s="129"/>
      <c r="M11" s="50"/>
    </row>
    <row r="12" spans="2:13" ht="29.4" thickBot="1" x14ac:dyDescent="0.35">
      <c r="B12" s="122"/>
      <c r="C12" s="124"/>
      <c r="D12" s="7" t="s">
        <v>42</v>
      </c>
      <c r="E12" s="8" t="s">
        <v>43</v>
      </c>
      <c r="F12" s="9" t="s">
        <v>44</v>
      </c>
      <c r="G12" s="10" t="s">
        <v>42</v>
      </c>
      <c r="H12" s="8" t="s">
        <v>43</v>
      </c>
      <c r="I12" s="11" t="s">
        <v>44</v>
      </c>
      <c r="J12" s="7" t="s">
        <v>42</v>
      </c>
      <c r="K12" s="8" t="s">
        <v>43</v>
      </c>
      <c r="L12" s="11" t="s">
        <v>44</v>
      </c>
      <c r="M12" s="51" t="s">
        <v>110</v>
      </c>
    </row>
    <row r="13" spans="2:13" ht="15" x14ac:dyDescent="0.25">
      <c r="B13" s="15"/>
      <c r="C13" s="18" t="s">
        <v>45</v>
      </c>
      <c r="D13" s="12" t="s">
        <v>46</v>
      </c>
      <c r="E13" s="13" t="s">
        <v>47</v>
      </c>
      <c r="F13" s="14" t="s">
        <v>49</v>
      </c>
      <c r="G13" s="5" t="s">
        <v>48</v>
      </c>
      <c r="H13" s="4" t="s">
        <v>88</v>
      </c>
      <c r="I13" s="6" t="s">
        <v>89</v>
      </c>
      <c r="J13" s="3" t="s">
        <v>98</v>
      </c>
      <c r="K13" s="4" t="s">
        <v>99</v>
      </c>
      <c r="L13" s="6" t="s">
        <v>100</v>
      </c>
      <c r="M13" s="52" t="s">
        <v>111</v>
      </c>
    </row>
    <row r="14" spans="2:13" x14ac:dyDescent="0.3">
      <c r="B14" s="16" t="s">
        <v>0</v>
      </c>
      <c r="C14" s="19" t="s">
        <v>112</v>
      </c>
      <c r="D14" s="26">
        <v>44010</v>
      </c>
      <c r="E14" s="27"/>
      <c r="F14" s="28">
        <f>D14+E14</f>
        <v>44010</v>
      </c>
      <c r="G14" s="26">
        <v>45000</v>
      </c>
      <c r="H14" s="27"/>
      <c r="I14" s="28">
        <f>G14+H14</f>
        <v>45000</v>
      </c>
      <c r="J14" s="26">
        <v>47810.86</v>
      </c>
      <c r="K14" s="27">
        <v>163.5</v>
      </c>
      <c r="L14" s="28">
        <f>J14+K14</f>
        <v>47974.36</v>
      </c>
      <c r="M14" s="53">
        <f>L14/I14</f>
        <v>1.0660968888888889</v>
      </c>
    </row>
    <row r="15" spans="2:13" x14ac:dyDescent="0.3">
      <c r="B15" s="16" t="s">
        <v>1</v>
      </c>
      <c r="C15" s="57" t="s">
        <v>91</v>
      </c>
      <c r="D15" s="29"/>
      <c r="E15" s="30"/>
      <c r="F15" s="28">
        <f t="shared" ref="F15:F42" si="0">D15+E15</f>
        <v>0</v>
      </c>
      <c r="G15" s="29"/>
      <c r="H15" s="30"/>
      <c r="I15" s="28">
        <f t="shared" ref="I15:I37" si="1">G15+H15</f>
        <v>0</v>
      </c>
      <c r="J15" s="29"/>
      <c r="K15" s="30"/>
      <c r="L15" s="28">
        <f t="shared" ref="L15:L37" si="2">J15+K15</f>
        <v>0</v>
      </c>
      <c r="M15" s="53" t="e">
        <f t="shared" ref="M15:M38" si="3">L15/I15</f>
        <v>#DIV/0!</v>
      </c>
    </row>
    <row r="16" spans="2:13" x14ac:dyDescent="0.3">
      <c r="B16" s="16" t="s">
        <v>3</v>
      </c>
      <c r="C16" s="100" t="s">
        <v>119</v>
      </c>
      <c r="D16" s="26">
        <v>24213</v>
      </c>
      <c r="E16" s="27"/>
      <c r="F16" s="28">
        <f t="shared" si="0"/>
        <v>24213</v>
      </c>
      <c r="G16" s="26">
        <v>21195</v>
      </c>
      <c r="H16" s="27"/>
      <c r="I16" s="28">
        <f t="shared" si="1"/>
        <v>21195</v>
      </c>
      <c r="J16" s="26">
        <v>20972.98</v>
      </c>
      <c r="K16" s="27"/>
      <c r="L16" s="28">
        <f t="shared" si="2"/>
        <v>20972.98</v>
      </c>
      <c r="M16" s="53">
        <f t="shared" si="3"/>
        <v>0.98952488794527005</v>
      </c>
    </row>
    <row r="17" spans="2:13" x14ac:dyDescent="0.3">
      <c r="B17" s="16" t="s">
        <v>5</v>
      </c>
      <c r="C17" s="57" t="s">
        <v>92</v>
      </c>
      <c r="D17" s="26"/>
      <c r="E17" s="27"/>
      <c r="F17" s="28">
        <f t="shared" si="0"/>
        <v>0</v>
      </c>
      <c r="G17" s="26"/>
      <c r="H17" s="27"/>
      <c r="I17" s="28">
        <f t="shared" si="1"/>
        <v>0</v>
      </c>
      <c r="J17" s="26"/>
      <c r="K17" s="27"/>
      <c r="L17" s="28">
        <f t="shared" si="2"/>
        <v>0</v>
      </c>
      <c r="M17" s="53" t="e">
        <f t="shared" si="3"/>
        <v>#DIV/0!</v>
      </c>
    </row>
    <row r="18" spans="2:13" x14ac:dyDescent="0.3">
      <c r="B18" s="16" t="s">
        <v>7</v>
      </c>
      <c r="C18" s="20" t="s">
        <v>93</v>
      </c>
      <c r="D18" s="26"/>
      <c r="E18" s="27"/>
      <c r="F18" s="28">
        <f t="shared" si="0"/>
        <v>0</v>
      </c>
      <c r="G18" s="26"/>
      <c r="H18" s="27"/>
      <c r="I18" s="28">
        <f t="shared" si="1"/>
        <v>0</v>
      </c>
      <c r="J18" s="26">
        <v>83.58</v>
      </c>
      <c r="K18" s="27"/>
      <c r="L18" s="28">
        <f t="shared" si="2"/>
        <v>83.58</v>
      </c>
      <c r="M18" s="53" t="e">
        <f t="shared" si="3"/>
        <v>#DIV/0!</v>
      </c>
    </row>
    <row r="19" spans="2:13" x14ac:dyDescent="0.3">
      <c r="B19" s="16" t="s">
        <v>9</v>
      </c>
      <c r="C19" s="21" t="s">
        <v>2</v>
      </c>
      <c r="D19" s="29">
        <v>128</v>
      </c>
      <c r="E19" s="30">
        <v>33</v>
      </c>
      <c r="F19" s="28">
        <f t="shared" si="0"/>
        <v>161</v>
      </c>
      <c r="G19" s="29">
        <v>1722</v>
      </c>
      <c r="H19" s="30">
        <v>18</v>
      </c>
      <c r="I19" s="28">
        <f t="shared" si="1"/>
        <v>1740</v>
      </c>
      <c r="J19" s="29">
        <v>2623.55</v>
      </c>
      <c r="K19" s="30">
        <v>34.549999999999997</v>
      </c>
      <c r="L19" s="28">
        <f t="shared" si="2"/>
        <v>2658.1000000000004</v>
      </c>
      <c r="M19" s="53">
        <f t="shared" si="3"/>
        <v>1.5276436781609197</v>
      </c>
    </row>
    <row r="20" spans="2:13" x14ac:dyDescent="0.3">
      <c r="B20" s="16" t="s">
        <v>11</v>
      </c>
      <c r="C20" s="21" t="s">
        <v>4</v>
      </c>
      <c r="D20" s="29"/>
      <c r="E20" s="30"/>
      <c r="F20" s="28">
        <f t="shared" si="0"/>
        <v>0</v>
      </c>
      <c r="G20" s="29"/>
      <c r="H20" s="30">
        <v>18</v>
      </c>
      <c r="I20" s="28">
        <f t="shared" si="1"/>
        <v>18</v>
      </c>
      <c r="J20" s="29"/>
      <c r="K20" s="30">
        <v>34.6</v>
      </c>
      <c r="L20" s="28">
        <f t="shared" si="2"/>
        <v>34.6</v>
      </c>
      <c r="M20" s="53">
        <f t="shared" si="3"/>
        <v>1.9222222222222223</v>
      </c>
    </row>
    <row r="21" spans="2:13" x14ac:dyDescent="0.3">
      <c r="B21" s="16" t="s">
        <v>13</v>
      </c>
      <c r="C21" s="22" t="s">
        <v>6</v>
      </c>
      <c r="D21" s="29"/>
      <c r="E21" s="30"/>
      <c r="F21" s="28">
        <f t="shared" si="0"/>
        <v>0</v>
      </c>
      <c r="G21" s="29"/>
      <c r="H21" s="30"/>
      <c r="I21" s="28">
        <f t="shared" si="1"/>
        <v>0</v>
      </c>
      <c r="J21" s="29"/>
      <c r="K21" s="30"/>
      <c r="L21" s="28">
        <f t="shared" si="2"/>
        <v>0</v>
      </c>
      <c r="M21" s="53" t="e">
        <f t="shared" si="3"/>
        <v>#DIV/0!</v>
      </c>
    </row>
    <row r="22" spans="2:13" x14ac:dyDescent="0.3">
      <c r="B22" s="17" t="s">
        <v>15</v>
      </c>
      <c r="C22" s="23" t="s">
        <v>8</v>
      </c>
      <c r="D22" s="31">
        <f>SUM(D14:D19)</f>
        <v>68351</v>
      </c>
      <c r="E22" s="31">
        <f>SUM(E14:E19)</f>
        <v>33</v>
      </c>
      <c r="F22" s="32">
        <f>D22+E22</f>
        <v>68384</v>
      </c>
      <c r="G22" s="31">
        <f>SUM(G14:G19)</f>
        <v>67917</v>
      </c>
      <c r="H22" s="31">
        <f>SUM(H14:H19)</f>
        <v>18</v>
      </c>
      <c r="I22" s="32">
        <f t="shared" si="1"/>
        <v>67935</v>
      </c>
      <c r="J22" s="31">
        <f>SUM(J14:J19)</f>
        <v>71490.97</v>
      </c>
      <c r="K22" s="31">
        <f>SUM(K14:K19)</f>
        <v>198.05</v>
      </c>
      <c r="L22" s="32">
        <f t="shared" si="2"/>
        <v>71689.02</v>
      </c>
      <c r="M22" s="53">
        <f t="shared" si="3"/>
        <v>1.0552589975712079</v>
      </c>
    </row>
    <row r="23" spans="2:13" x14ac:dyDescent="0.3">
      <c r="B23" s="16" t="s">
        <v>17</v>
      </c>
      <c r="C23" s="21" t="s">
        <v>10</v>
      </c>
      <c r="D23" s="29">
        <v>480</v>
      </c>
      <c r="E23" s="30"/>
      <c r="F23" s="28">
        <f t="shared" si="0"/>
        <v>480</v>
      </c>
      <c r="G23" s="29">
        <v>480</v>
      </c>
      <c r="H23" s="30"/>
      <c r="I23" s="28">
        <f t="shared" si="1"/>
        <v>480</v>
      </c>
      <c r="J23" s="29">
        <v>852.6</v>
      </c>
      <c r="K23" s="30"/>
      <c r="L23" s="28">
        <f t="shared" si="2"/>
        <v>852.6</v>
      </c>
      <c r="M23" s="113">
        <f t="shared" si="3"/>
        <v>1.7762500000000001</v>
      </c>
    </row>
    <row r="24" spans="2:13" x14ac:dyDescent="0.3">
      <c r="B24" s="16" t="s">
        <v>19</v>
      </c>
      <c r="C24" s="21" t="s">
        <v>12</v>
      </c>
      <c r="D24" s="29">
        <v>11702</v>
      </c>
      <c r="E24" s="30">
        <v>33</v>
      </c>
      <c r="F24" s="28">
        <f t="shared" si="0"/>
        <v>11735</v>
      </c>
      <c r="G24" s="29">
        <v>11717</v>
      </c>
      <c r="H24" s="30">
        <v>18</v>
      </c>
      <c r="I24" s="28">
        <f t="shared" si="1"/>
        <v>11735</v>
      </c>
      <c r="J24" s="29">
        <v>12031.47</v>
      </c>
      <c r="K24" s="30">
        <v>3.14</v>
      </c>
      <c r="L24" s="28">
        <f t="shared" si="2"/>
        <v>12034.609999999999</v>
      </c>
      <c r="M24" s="113">
        <f t="shared" si="3"/>
        <v>1.02553131657435</v>
      </c>
    </row>
    <row r="25" spans="2:13" x14ac:dyDescent="0.3">
      <c r="B25" s="16" t="s">
        <v>20</v>
      </c>
      <c r="C25" s="21" t="s">
        <v>14</v>
      </c>
      <c r="D25" s="29">
        <v>7900</v>
      </c>
      <c r="E25" s="30"/>
      <c r="F25" s="28">
        <f t="shared" si="0"/>
        <v>7900</v>
      </c>
      <c r="G25" s="29">
        <v>7900</v>
      </c>
      <c r="H25" s="30"/>
      <c r="I25" s="28">
        <f t="shared" si="1"/>
        <v>7900</v>
      </c>
      <c r="J25" s="29">
        <v>8200.67</v>
      </c>
      <c r="K25" s="30"/>
      <c r="L25" s="28">
        <f t="shared" si="2"/>
        <v>8200.67</v>
      </c>
      <c r="M25" s="113">
        <f t="shared" si="3"/>
        <v>1.038059493670886</v>
      </c>
    </row>
    <row r="26" spans="2:13" x14ac:dyDescent="0.3">
      <c r="B26" s="16" t="s">
        <v>22</v>
      </c>
      <c r="C26" s="21" t="s">
        <v>16</v>
      </c>
      <c r="D26" s="29">
        <v>4718</v>
      </c>
      <c r="E26" s="30"/>
      <c r="F26" s="28">
        <f t="shared" si="0"/>
        <v>4718</v>
      </c>
      <c r="G26" s="29">
        <v>4745</v>
      </c>
      <c r="H26" s="30"/>
      <c r="I26" s="28">
        <f t="shared" si="1"/>
        <v>4745</v>
      </c>
      <c r="J26" s="29">
        <v>5382.64</v>
      </c>
      <c r="K26" s="30"/>
      <c r="L26" s="28">
        <f t="shared" si="2"/>
        <v>5382.64</v>
      </c>
      <c r="M26" s="113">
        <f t="shared" si="3"/>
        <v>1.1343814541622761</v>
      </c>
    </row>
    <row r="27" spans="2:13" x14ac:dyDescent="0.3">
      <c r="B27" s="16" t="s">
        <v>24</v>
      </c>
      <c r="C27" s="21" t="s">
        <v>18</v>
      </c>
      <c r="D27" s="29">
        <v>43640</v>
      </c>
      <c r="E27" s="30"/>
      <c r="F27" s="28">
        <f t="shared" si="0"/>
        <v>43640</v>
      </c>
      <c r="G27" s="29">
        <v>48662</v>
      </c>
      <c r="H27" s="30"/>
      <c r="I27" s="28">
        <f t="shared" si="1"/>
        <v>48662</v>
      </c>
      <c r="J27" s="29">
        <v>48937.46</v>
      </c>
      <c r="K27" s="30">
        <v>68</v>
      </c>
      <c r="L27" s="28">
        <f t="shared" si="2"/>
        <v>49005.46</v>
      </c>
      <c r="M27" s="113">
        <f t="shared" si="3"/>
        <v>1.0070580740618964</v>
      </c>
    </row>
    <row r="28" spans="2:13" x14ac:dyDescent="0.3">
      <c r="B28" s="16" t="s">
        <v>26</v>
      </c>
      <c r="C28" s="57" t="s">
        <v>50</v>
      </c>
      <c r="D28" s="29">
        <v>43490</v>
      </c>
      <c r="E28" s="30"/>
      <c r="F28" s="28">
        <f t="shared" si="0"/>
        <v>43490</v>
      </c>
      <c r="G28" s="29">
        <v>48512</v>
      </c>
      <c r="H28" s="30"/>
      <c r="I28" s="28">
        <f t="shared" si="1"/>
        <v>48512</v>
      </c>
      <c r="J28" s="29">
        <v>48492.6</v>
      </c>
      <c r="K28" s="30"/>
      <c r="L28" s="28">
        <f t="shared" si="2"/>
        <v>48492.6</v>
      </c>
      <c r="M28" s="113">
        <f t="shared" si="3"/>
        <v>0.99960009894459101</v>
      </c>
    </row>
    <row r="29" spans="2:13" x14ac:dyDescent="0.3">
      <c r="B29" s="16" t="s">
        <v>28</v>
      </c>
      <c r="C29" s="58" t="s">
        <v>21</v>
      </c>
      <c r="D29" s="29">
        <v>150</v>
      </c>
      <c r="E29" s="30"/>
      <c r="F29" s="28">
        <f t="shared" si="0"/>
        <v>150</v>
      </c>
      <c r="G29" s="29">
        <v>150</v>
      </c>
      <c r="H29" s="30"/>
      <c r="I29" s="28">
        <f t="shared" si="1"/>
        <v>150</v>
      </c>
      <c r="J29" s="29">
        <v>444.85</v>
      </c>
      <c r="K29" s="30">
        <v>68</v>
      </c>
      <c r="L29" s="28">
        <f t="shared" si="2"/>
        <v>512.85</v>
      </c>
      <c r="M29" s="113">
        <f t="shared" si="3"/>
        <v>3.419</v>
      </c>
    </row>
    <row r="30" spans="2:13" x14ac:dyDescent="0.3">
      <c r="B30" s="16" t="s">
        <v>30</v>
      </c>
      <c r="C30" s="21" t="s">
        <v>23</v>
      </c>
      <c r="D30" s="29">
        <v>14838</v>
      </c>
      <c r="E30" s="30"/>
      <c r="F30" s="28">
        <f t="shared" si="0"/>
        <v>14838</v>
      </c>
      <c r="G30" s="29">
        <v>16545</v>
      </c>
      <c r="H30" s="30"/>
      <c r="I30" s="28">
        <f t="shared" si="1"/>
        <v>16545</v>
      </c>
      <c r="J30" s="29">
        <v>16434.37</v>
      </c>
      <c r="K30" s="30">
        <v>23.12</v>
      </c>
      <c r="L30" s="28">
        <f t="shared" si="2"/>
        <v>16457.489999999998</v>
      </c>
      <c r="M30" s="113">
        <f t="shared" si="3"/>
        <v>0.99471078875793284</v>
      </c>
    </row>
    <row r="31" spans="2:13" x14ac:dyDescent="0.3">
      <c r="B31" s="16" t="s">
        <v>32</v>
      </c>
      <c r="C31" s="21" t="s">
        <v>25</v>
      </c>
      <c r="D31" s="29">
        <v>1</v>
      </c>
      <c r="E31" s="30"/>
      <c r="F31" s="28">
        <f t="shared" si="0"/>
        <v>1</v>
      </c>
      <c r="G31" s="29">
        <v>1</v>
      </c>
      <c r="H31" s="30"/>
      <c r="I31" s="28">
        <f t="shared" si="1"/>
        <v>1</v>
      </c>
      <c r="J31" s="29">
        <v>3.56</v>
      </c>
      <c r="K31" s="30"/>
      <c r="L31" s="28">
        <f t="shared" si="2"/>
        <v>3.56</v>
      </c>
      <c r="M31" s="113">
        <f t="shared" si="3"/>
        <v>3.56</v>
      </c>
    </row>
    <row r="32" spans="2:13" x14ac:dyDescent="0.3">
      <c r="B32" s="16" t="s">
        <v>33</v>
      </c>
      <c r="C32" s="21" t="s">
        <v>27</v>
      </c>
      <c r="D32" s="29">
        <v>446</v>
      </c>
      <c r="E32" s="30"/>
      <c r="F32" s="28">
        <f t="shared" si="0"/>
        <v>446</v>
      </c>
      <c r="G32" s="29">
        <v>408</v>
      </c>
      <c r="H32" s="30"/>
      <c r="I32" s="28">
        <f t="shared" si="1"/>
        <v>408</v>
      </c>
      <c r="J32" s="29">
        <v>408.93</v>
      </c>
      <c r="K32" s="30"/>
      <c r="L32" s="28">
        <f t="shared" si="2"/>
        <v>408.93</v>
      </c>
      <c r="M32" s="113">
        <f t="shared" si="3"/>
        <v>1.0022794117647058</v>
      </c>
    </row>
    <row r="33" spans="2:18" x14ac:dyDescent="0.3">
      <c r="B33" s="16" t="s">
        <v>35</v>
      </c>
      <c r="C33" s="21" t="s">
        <v>29</v>
      </c>
      <c r="D33" s="29">
        <v>7626</v>
      </c>
      <c r="E33" s="30"/>
      <c r="F33" s="28">
        <f t="shared" si="0"/>
        <v>7626</v>
      </c>
      <c r="G33" s="29">
        <v>7656</v>
      </c>
      <c r="H33" s="30"/>
      <c r="I33" s="28">
        <f t="shared" si="1"/>
        <v>7656</v>
      </c>
      <c r="J33" s="29">
        <v>4453.76</v>
      </c>
      <c r="K33" s="30"/>
      <c r="L33" s="28">
        <f t="shared" si="2"/>
        <v>4453.76</v>
      </c>
      <c r="M33" s="113">
        <f t="shared" si="3"/>
        <v>0.58173458725182869</v>
      </c>
    </row>
    <row r="34" spans="2:18" x14ac:dyDescent="0.3">
      <c r="B34" s="16" t="s">
        <v>36</v>
      </c>
      <c r="C34" s="21" t="s">
        <v>106</v>
      </c>
      <c r="D34" s="29">
        <f>D39</f>
        <v>0</v>
      </c>
      <c r="E34" s="29">
        <f>E39</f>
        <v>0</v>
      </c>
      <c r="F34" s="28">
        <f>D34+E34</f>
        <v>0</v>
      </c>
      <c r="G34" s="29">
        <f>G39</f>
        <v>0</v>
      </c>
      <c r="H34" s="29">
        <f>H39</f>
        <v>0</v>
      </c>
      <c r="I34" s="28">
        <f t="shared" si="1"/>
        <v>0</v>
      </c>
      <c r="J34" s="29">
        <v>224</v>
      </c>
      <c r="K34" s="29"/>
      <c r="L34" s="28">
        <f t="shared" si="2"/>
        <v>224</v>
      </c>
      <c r="M34" s="113" t="e">
        <f t="shared" si="3"/>
        <v>#DIV/0!</v>
      </c>
    </row>
    <row r="35" spans="2:18" x14ac:dyDescent="0.3">
      <c r="B35" s="17" t="s">
        <v>38</v>
      </c>
      <c r="C35" s="23" t="s">
        <v>31</v>
      </c>
      <c r="D35" s="31">
        <f>SUM(D23:D27)+SUM(D30:D33)</f>
        <v>91351</v>
      </c>
      <c r="E35" s="31">
        <f>SUM(E23:E27)+SUM(E30:E33)</f>
        <v>33</v>
      </c>
      <c r="F35" s="32">
        <f>D35+E35</f>
        <v>91384</v>
      </c>
      <c r="G35" s="31">
        <f>SUM(G23:G27)+SUM(G30:G33)</f>
        <v>98114</v>
      </c>
      <c r="H35" s="31">
        <f>SUM(H23:H27)+SUM(H30:H33)</f>
        <v>18</v>
      </c>
      <c r="I35" s="32">
        <f>G35+H35</f>
        <v>98132</v>
      </c>
      <c r="J35" s="31">
        <f>SUM(J23:J27)+SUM(J30:J33)</f>
        <v>96705.459999999992</v>
      </c>
      <c r="K35" s="31">
        <f>SUM(K23:K27)+SUM(K30:K33)</f>
        <v>94.26</v>
      </c>
      <c r="L35" s="32">
        <f>J35+K35</f>
        <v>96799.719999999987</v>
      </c>
      <c r="M35" s="53">
        <f t="shared" si="3"/>
        <v>0.98642359271185731</v>
      </c>
    </row>
    <row r="36" spans="2:18" x14ac:dyDescent="0.3">
      <c r="B36" s="17" t="s">
        <v>94</v>
      </c>
      <c r="C36" s="23" t="s">
        <v>101</v>
      </c>
      <c r="D36" s="31">
        <f>D22-D35</f>
        <v>-23000</v>
      </c>
      <c r="E36" s="31">
        <f>E22-E35</f>
        <v>0</v>
      </c>
      <c r="F36" s="32">
        <f t="shared" si="0"/>
        <v>-23000</v>
      </c>
      <c r="G36" s="31">
        <f>G22-G35</f>
        <v>-30197</v>
      </c>
      <c r="H36" s="31">
        <f>H22-H35</f>
        <v>0</v>
      </c>
      <c r="I36" s="32">
        <f t="shared" si="1"/>
        <v>-30197</v>
      </c>
      <c r="J36" s="31">
        <f>J22-J35</f>
        <v>-25214.489999999991</v>
      </c>
      <c r="K36" s="31">
        <f>K22-K35</f>
        <v>103.79</v>
      </c>
      <c r="L36" s="32">
        <f t="shared" si="2"/>
        <v>-25110.69999999999</v>
      </c>
      <c r="M36" s="53">
        <f t="shared" si="3"/>
        <v>0.83156273802033276</v>
      </c>
    </row>
    <row r="37" spans="2:18" x14ac:dyDescent="0.3">
      <c r="B37" s="17" t="s">
        <v>95</v>
      </c>
      <c r="C37" s="99" t="s">
        <v>90</v>
      </c>
      <c r="D37" s="31">
        <v>23000</v>
      </c>
      <c r="E37" s="105"/>
      <c r="F37" s="32">
        <f t="shared" si="0"/>
        <v>23000</v>
      </c>
      <c r="G37" s="31">
        <v>30197</v>
      </c>
      <c r="H37" s="105"/>
      <c r="I37" s="32">
        <f t="shared" si="1"/>
        <v>30197</v>
      </c>
      <c r="J37" s="31">
        <v>25214.49</v>
      </c>
      <c r="K37" s="105"/>
      <c r="L37" s="32">
        <f t="shared" si="2"/>
        <v>25214.49</v>
      </c>
      <c r="M37" s="53">
        <f t="shared" si="3"/>
        <v>0.83499983442063785</v>
      </c>
    </row>
    <row r="38" spans="2:18" ht="15" thickBot="1" x14ac:dyDescent="0.35">
      <c r="B38" s="24" t="s">
        <v>96</v>
      </c>
      <c r="C38" s="36" t="s">
        <v>105</v>
      </c>
      <c r="D38" s="37">
        <f>D36+D37</f>
        <v>0</v>
      </c>
      <c r="E38" s="37">
        <f>E36+E37</f>
        <v>0</v>
      </c>
      <c r="F38" s="38">
        <f>D38+E38</f>
        <v>0</v>
      </c>
      <c r="G38" s="37">
        <f>G36+G37</f>
        <v>0</v>
      </c>
      <c r="H38" s="37">
        <f>H36+H37</f>
        <v>0</v>
      </c>
      <c r="I38" s="38">
        <f>G38+H38</f>
        <v>0</v>
      </c>
      <c r="J38" s="37">
        <f>J36+J37</f>
        <v>0</v>
      </c>
      <c r="K38" s="37">
        <f>K36+K37</f>
        <v>103.79</v>
      </c>
      <c r="L38" s="38">
        <f>J38+K38</f>
        <v>103.79</v>
      </c>
      <c r="M38" s="53" t="e">
        <f t="shared" si="3"/>
        <v>#DIV/0!</v>
      </c>
    </row>
    <row r="39" spans="2:18" x14ac:dyDescent="0.3">
      <c r="B39" s="45" t="s">
        <v>97</v>
      </c>
      <c r="C39" s="39" t="s">
        <v>34</v>
      </c>
      <c r="D39" s="40">
        <f>SUM(D40:D41)</f>
        <v>0</v>
      </c>
      <c r="E39" s="40">
        <f>SUM(E40:E41)</f>
        <v>0</v>
      </c>
      <c r="F39" s="41">
        <f t="shared" si="0"/>
        <v>0</v>
      </c>
      <c r="G39" s="40">
        <f>SUM(G40:G41)</f>
        <v>0</v>
      </c>
      <c r="H39" s="40">
        <f>SUM(H40:H41)</f>
        <v>0</v>
      </c>
      <c r="I39" s="41">
        <f t="shared" ref="I39:I42" si="4">G39+H39</f>
        <v>0</v>
      </c>
      <c r="J39" s="40">
        <f>SUM(J40:J41)</f>
        <v>224</v>
      </c>
      <c r="K39" s="40">
        <f>SUM(K40:K41)</f>
        <v>0</v>
      </c>
      <c r="L39" s="41">
        <f t="shared" ref="L39:L42" si="5">J39+K39</f>
        <v>224</v>
      </c>
      <c r="M39" s="54" t="str">
        <f t="shared" ref="M39:M42" si="6">IF(I39=0,"",L39/I39)</f>
        <v/>
      </c>
    </row>
    <row r="40" spans="2:18" x14ac:dyDescent="0.3">
      <c r="B40" s="46" t="s">
        <v>102</v>
      </c>
      <c r="C40" s="21" t="s">
        <v>51</v>
      </c>
      <c r="D40" s="29"/>
      <c r="E40" s="30"/>
      <c r="F40" s="28">
        <f t="shared" si="0"/>
        <v>0</v>
      </c>
      <c r="G40" s="29"/>
      <c r="H40" s="30"/>
      <c r="I40" s="28">
        <f t="shared" si="4"/>
        <v>0</v>
      </c>
      <c r="J40" s="29"/>
      <c r="K40" s="30"/>
      <c r="L40" s="28">
        <f t="shared" si="5"/>
        <v>0</v>
      </c>
      <c r="M40" s="53" t="str">
        <f t="shared" si="6"/>
        <v/>
      </c>
    </row>
    <row r="41" spans="2:18" ht="15" thickBot="1" x14ac:dyDescent="0.35">
      <c r="B41" s="48" t="s">
        <v>103</v>
      </c>
      <c r="C41" s="42" t="s">
        <v>37</v>
      </c>
      <c r="D41" s="43"/>
      <c r="E41" s="44"/>
      <c r="F41" s="38">
        <f t="shared" si="0"/>
        <v>0</v>
      </c>
      <c r="G41" s="43"/>
      <c r="H41" s="44"/>
      <c r="I41" s="38">
        <f t="shared" si="4"/>
        <v>0</v>
      </c>
      <c r="J41" s="43">
        <v>224</v>
      </c>
      <c r="K41" s="44"/>
      <c r="L41" s="38">
        <f t="shared" si="5"/>
        <v>224</v>
      </c>
      <c r="M41" s="55" t="str">
        <f t="shared" si="6"/>
        <v/>
      </c>
    </row>
    <row r="42" spans="2:18" ht="15" thickBot="1" x14ac:dyDescent="0.35">
      <c r="B42" s="47" t="s">
        <v>104</v>
      </c>
      <c r="C42" s="25" t="s">
        <v>39</v>
      </c>
      <c r="D42" s="33"/>
      <c r="E42" s="34"/>
      <c r="F42" s="35">
        <f t="shared" si="0"/>
        <v>0</v>
      </c>
      <c r="G42" s="33"/>
      <c r="H42" s="34"/>
      <c r="I42" s="35">
        <f t="shared" si="4"/>
        <v>0</v>
      </c>
      <c r="J42" s="33"/>
      <c r="K42" s="34"/>
      <c r="L42" s="35">
        <f t="shared" si="5"/>
        <v>0</v>
      </c>
      <c r="M42" s="56" t="str">
        <f t="shared" si="6"/>
        <v/>
      </c>
    </row>
    <row r="43" spans="2:18" x14ac:dyDescent="0.3"/>
    <row r="44" spans="2:18" x14ac:dyDescent="0.3">
      <c r="B44" s="1" t="s">
        <v>69</v>
      </c>
      <c r="M44"/>
    </row>
    <row r="45" spans="2:18" x14ac:dyDescent="0.3">
      <c r="M45"/>
    </row>
    <row r="46" spans="2:18" x14ac:dyDescent="0.3">
      <c r="B46" s="114" t="s">
        <v>67</v>
      </c>
      <c r="C46" s="115"/>
      <c r="D46" s="97" t="s">
        <v>53</v>
      </c>
      <c r="F46" s="114" t="s">
        <v>75</v>
      </c>
      <c r="G46" s="116"/>
      <c r="H46" s="116"/>
      <c r="I46" s="116"/>
      <c r="J46" s="115"/>
      <c r="K46" s="98" t="s">
        <v>74</v>
      </c>
      <c r="M46" s="62" t="s">
        <v>73</v>
      </c>
      <c r="N46" s="64"/>
      <c r="O46" s="64"/>
      <c r="P46" s="64"/>
      <c r="Q46" s="63"/>
      <c r="R46" s="97" t="s">
        <v>74</v>
      </c>
    </row>
    <row r="47" spans="2:18" x14ac:dyDescent="0.3">
      <c r="B47" s="117" t="s">
        <v>54</v>
      </c>
      <c r="C47" s="118"/>
      <c r="D47" s="107">
        <v>824.28</v>
      </c>
      <c r="F47" s="119" t="s">
        <v>76</v>
      </c>
      <c r="G47" s="119"/>
      <c r="H47" s="119"/>
      <c r="I47" s="119"/>
      <c r="J47" s="119"/>
      <c r="K47" s="109">
        <v>318.86</v>
      </c>
      <c r="M47" s="60" t="s">
        <v>77</v>
      </c>
      <c r="N47" s="65"/>
      <c r="O47" s="65"/>
      <c r="P47" s="65"/>
      <c r="Q47" s="61"/>
      <c r="R47" s="107">
        <v>109.59</v>
      </c>
    </row>
    <row r="48" spans="2:18" x14ac:dyDescent="0.3">
      <c r="B48" s="117" t="s">
        <v>55</v>
      </c>
      <c r="C48" s="118"/>
      <c r="D48" s="107">
        <v>0</v>
      </c>
      <c r="F48" s="119" t="s">
        <v>78</v>
      </c>
      <c r="G48" s="119"/>
      <c r="H48" s="119"/>
      <c r="I48" s="119"/>
      <c r="J48" s="119"/>
      <c r="K48" s="109">
        <v>66.08</v>
      </c>
      <c r="M48" s="60" t="s">
        <v>79</v>
      </c>
      <c r="N48" s="65"/>
      <c r="O48" s="65"/>
      <c r="P48" s="65"/>
      <c r="Q48" s="61"/>
      <c r="R48" s="107"/>
    </row>
    <row r="49" spans="2:18" x14ac:dyDescent="0.3">
      <c r="B49" s="117" t="s">
        <v>56</v>
      </c>
      <c r="C49" s="118"/>
      <c r="D49" s="107">
        <v>408.9</v>
      </c>
      <c r="F49" s="119" t="s">
        <v>70</v>
      </c>
      <c r="G49" s="119"/>
      <c r="H49" s="119"/>
      <c r="I49" s="119"/>
      <c r="J49" s="119"/>
      <c r="K49" s="109">
        <v>21.45</v>
      </c>
      <c r="M49" s="62" t="s">
        <v>80</v>
      </c>
      <c r="N49" s="64"/>
      <c r="O49" s="64"/>
      <c r="P49" s="64"/>
      <c r="Q49" s="63"/>
      <c r="R49" s="108">
        <f>SUM(R47:R48)</f>
        <v>109.59</v>
      </c>
    </row>
    <row r="50" spans="2:18" x14ac:dyDescent="0.3">
      <c r="B50" s="117" t="s">
        <v>57</v>
      </c>
      <c r="C50" s="118"/>
      <c r="D50" s="107"/>
      <c r="F50" s="120" t="s">
        <v>80</v>
      </c>
      <c r="G50" s="120"/>
      <c r="H50" s="120"/>
      <c r="I50" s="120"/>
      <c r="J50" s="120"/>
      <c r="K50" s="108">
        <f>SUM(K47:K49)</f>
        <v>406.39</v>
      </c>
      <c r="M50" s="60"/>
      <c r="N50" s="65"/>
      <c r="O50" s="65"/>
      <c r="P50" s="65"/>
      <c r="Q50" s="61"/>
      <c r="R50" s="107"/>
    </row>
    <row r="51" spans="2:18" x14ac:dyDescent="0.3">
      <c r="B51" s="117" t="s">
        <v>58</v>
      </c>
      <c r="C51" s="118"/>
      <c r="D51" s="107"/>
      <c r="F51" s="120"/>
      <c r="G51" s="120"/>
      <c r="H51" s="120"/>
      <c r="I51" s="120"/>
      <c r="J51" s="120"/>
      <c r="K51" s="108"/>
      <c r="M51" s="60" t="s">
        <v>82</v>
      </c>
      <c r="N51" s="65"/>
      <c r="O51" s="65"/>
      <c r="P51" s="65"/>
      <c r="Q51" s="61"/>
      <c r="R51" s="107"/>
    </row>
    <row r="52" spans="2:18" x14ac:dyDescent="0.3">
      <c r="B52" s="117" t="s">
        <v>59</v>
      </c>
      <c r="C52" s="118"/>
      <c r="D52" s="107"/>
      <c r="F52" s="119" t="s">
        <v>81</v>
      </c>
      <c r="G52" s="119"/>
      <c r="H52" s="119"/>
      <c r="I52" s="119"/>
      <c r="J52" s="119"/>
      <c r="K52" s="109"/>
      <c r="M52" s="62" t="s">
        <v>84</v>
      </c>
      <c r="N52" s="64"/>
      <c r="O52" s="64"/>
      <c r="P52" s="64"/>
      <c r="Q52" s="63"/>
      <c r="R52" s="108">
        <f>SUM(R51)</f>
        <v>0</v>
      </c>
    </row>
    <row r="53" spans="2:18" s="1" customFormat="1" x14ac:dyDescent="0.3">
      <c r="B53" s="114" t="s">
        <v>60</v>
      </c>
      <c r="C53" s="115"/>
      <c r="D53" s="108">
        <f>SUM(D47:D52)</f>
        <v>1233.1799999999998</v>
      </c>
      <c r="F53" s="119" t="s">
        <v>71</v>
      </c>
      <c r="G53" s="119"/>
      <c r="H53" s="119"/>
      <c r="I53" s="119"/>
      <c r="J53" s="119"/>
      <c r="K53" s="109">
        <v>83.58</v>
      </c>
      <c r="L53"/>
      <c r="M53" s="110"/>
      <c r="N53" s="111"/>
      <c r="O53" s="111"/>
      <c r="P53" s="112"/>
      <c r="Q53" s="112"/>
      <c r="R53" s="108"/>
    </row>
    <row r="54" spans="2:18" s="1" customFormat="1" x14ac:dyDescent="0.3">
      <c r="B54" s="114"/>
      <c r="C54" s="115"/>
      <c r="D54" s="108"/>
      <c r="F54" s="119" t="s">
        <v>72</v>
      </c>
      <c r="G54" s="119"/>
      <c r="H54" s="119"/>
      <c r="I54" s="119"/>
      <c r="J54" s="119"/>
      <c r="K54" s="109"/>
      <c r="L54"/>
      <c r="M54" s="62" t="s">
        <v>118</v>
      </c>
      <c r="N54" s="64"/>
      <c r="O54" s="64"/>
      <c r="P54" s="64"/>
      <c r="Q54" s="63"/>
      <c r="R54" s="108">
        <f>R47-R52</f>
        <v>109.59</v>
      </c>
    </row>
    <row r="55" spans="2:18" x14ac:dyDescent="0.3">
      <c r="B55" s="117" t="s">
        <v>61</v>
      </c>
      <c r="C55" s="118"/>
      <c r="D55" s="107"/>
      <c r="F55" s="120" t="s">
        <v>83</v>
      </c>
      <c r="G55" s="120"/>
      <c r="H55" s="120"/>
      <c r="I55" s="120"/>
      <c r="J55" s="120"/>
      <c r="K55" s="108">
        <f>SUM(K52:K54)</f>
        <v>83.58</v>
      </c>
      <c r="M55"/>
    </row>
    <row r="56" spans="2:18" x14ac:dyDescent="0.3">
      <c r="B56" s="117" t="s">
        <v>62</v>
      </c>
      <c r="C56" s="118"/>
      <c r="D56" s="107">
        <v>111.75</v>
      </c>
      <c r="F56" s="114"/>
      <c r="G56" s="116"/>
      <c r="H56" s="116"/>
      <c r="I56" s="116"/>
      <c r="J56" s="115"/>
      <c r="K56" s="108"/>
      <c r="M56"/>
    </row>
    <row r="57" spans="2:18" x14ac:dyDescent="0.3">
      <c r="B57" s="117" t="s">
        <v>63</v>
      </c>
      <c r="C57" s="118"/>
      <c r="D57" s="107">
        <v>213.78</v>
      </c>
      <c r="F57" s="114" t="s">
        <v>117</v>
      </c>
      <c r="G57" s="116"/>
      <c r="H57" s="116"/>
      <c r="I57" s="116"/>
      <c r="J57" s="115"/>
      <c r="K57" s="108">
        <f>K50-K55</f>
        <v>322.81</v>
      </c>
      <c r="M57"/>
    </row>
    <row r="58" spans="2:18" x14ac:dyDescent="0.3">
      <c r="B58" s="117" t="s">
        <v>64</v>
      </c>
      <c r="C58" s="118"/>
      <c r="D58" s="107"/>
      <c r="K58" s="96"/>
      <c r="M58"/>
    </row>
    <row r="59" spans="2:18" x14ac:dyDescent="0.3">
      <c r="B59" s="117" t="s">
        <v>65</v>
      </c>
      <c r="C59" s="118"/>
      <c r="D59" s="107">
        <v>224</v>
      </c>
      <c r="M59"/>
    </row>
    <row r="60" spans="2:18" x14ac:dyDescent="0.3">
      <c r="B60" s="114" t="s">
        <v>66</v>
      </c>
      <c r="C60" s="115"/>
      <c r="D60" s="108">
        <f>SUM(D55:D59)</f>
        <v>549.53</v>
      </c>
      <c r="M60"/>
    </row>
    <row r="61" spans="2:18" x14ac:dyDescent="0.3">
      <c r="B61" s="114"/>
      <c r="C61" s="115"/>
      <c r="D61" s="108"/>
      <c r="M61"/>
    </row>
    <row r="62" spans="2:18" s="1" customFormat="1" x14ac:dyDescent="0.3">
      <c r="B62" s="114" t="s">
        <v>116</v>
      </c>
      <c r="C62" s="115"/>
      <c r="D62" s="108">
        <f>D53-D60</f>
        <v>683.64999999999986</v>
      </c>
    </row>
    <row r="63" spans="2:18" x14ac:dyDescent="0.3">
      <c r="M63"/>
    </row>
    <row r="64" spans="2:18" x14ac:dyDescent="0.3">
      <c r="M64"/>
    </row>
    <row r="65" spans="2:13" x14ac:dyDescent="0.3">
      <c r="B65" t="s">
        <v>136</v>
      </c>
      <c r="D65" t="s">
        <v>122</v>
      </c>
      <c r="J65" t="s">
        <v>52</v>
      </c>
      <c r="M65"/>
    </row>
    <row r="66" spans="2:13" x14ac:dyDescent="0.3">
      <c r="M66"/>
    </row>
    <row r="67" spans="2:13" x14ac:dyDescent="0.3">
      <c r="B67" t="s">
        <v>137</v>
      </c>
      <c r="D67" t="s">
        <v>123</v>
      </c>
      <c r="J67" t="s">
        <v>52</v>
      </c>
      <c r="M67"/>
    </row>
    <row r="68" spans="2:13" x14ac:dyDescent="0.3">
      <c r="M68"/>
    </row>
  </sheetData>
  <mergeCells count="34">
    <mergeCell ref="B11:B12"/>
    <mergeCell ref="C11:C12"/>
    <mergeCell ref="D11:F11"/>
    <mergeCell ref="G11:I11"/>
    <mergeCell ref="J11:L11"/>
    <mergeCell ref="B48:C48"/>
    <mergeCell ref="F48:J48"/>
    <mergeCell ref="B49:C49"/>
    <mergeCell ref="F49:J49"/>
    <mergeCell ref="B46:C46"/>
    <mergeCell ref="F46:J46"/>
    <mergeCell ref="B47:C47"/>
    <mergeCell ref="F47:J47"/>
    <mergeCell ref="B52:C52"/>
    <mergeCell ref="F52:J52"/>
    <mergeCell ref="B53:C53"/>
    <mergeCell ref="F53:J53"/>
    <mergeCell ref="B50:C50"/>
    <mergeCell ref="F50:J50"/>
    <mergeCell ref="B51:C51"/>
    <mergeCell ref="F51:J51"/>
    <mergeCell ref="B54:C54"/>
    <mergeCell ref="F54:J54"/>
    <mergeCell ref="B55:C55"/>
    <mergeCell ref="F55:J55"/>
    <mergeCell ref="B56:C56"/>
    <mergeCell ref="B62:C62"/>
    <mergeCell ref="F57:J57"/>
    <mergeCell ref="F56:J56"/>
    <mergeCell ref="B57:C57"/>
    <mergeCell ref="B58:C58"/>
    <mergeCell ref="B59:C59"/>
    <mergeCell ref="B60:C60"/>
    <mergeCell ref="B61:C6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" right="0.7" top="0.78740157499999996" bottom="0.78740157499999996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W23"/>
  <sheetViews>
    <sheetView workbookViewId="0">
      <selection activeCell="I35" sqref="I35"/>
    </sheetView>
  </sheetViews>
  <sheetFormatPr defaultRowHeight="14.4" x14ac:dyDescent="0.3"/>
  <cols>
    <col min="1" max="1" width="2.6640625" customWidth="1"/>
    <col min="2" max="2" width="28.109375" customWidth="1"/>
  </cols>
  <sheetData>
    <row r="2" spans="2:23" ht="15.75" thickBot="1" x14ac:dyDescent="0.3"/>
    <row r="3" spans="2:23" ht="179.25" customHeight="1" thickBot="1" x14ac:dyDescent="0.35">
      <c r="B3" s="66" t="s">
        <v>113</v>
      </c>
      <c r="C3" s="67" t="s">
        <v>112</v>
      </c>
      <c r="D3" s="68" t="s">
        <v>114</v>
      </c>
      <c r="E3" s="68" t="s">
        <v>115</v>
      </c>
      <c r="F3" s="68" t="s">
        <v>92</v>
      </c>
      <c r="G3" s="69" t="s">
        <v>93</v>
      </c>
      <c r="H3" s="70" t="s">
        <v>2</v>
      </c>
      <c r="I3" s="71" t="s">
        <v>8</v>
      </c>
      <c r="J3" s="67" t="s">
        <v>10</v>
      </c>
      <c r="K3" s="70" t="s">
        <v>12</v>
      </c>
      <c r="L3" s="70" t="s">
        <v>14</v>
      </c>
      <c r="M3" s="70" t="s">
        <v>16</v>
      </c>
      <c r="N3" s="70" t="s">
        <v>18</v>
      </c>
      <c r="O3" s="70" t="s">
        <v>23</v>
      </c>
      <c r="P3" s="70" t="s">
        <v>25</v>
      </c>
      <c r="Q3" s="72" t="s">
        <v>27</v>
      </c>
      <c r="R3" s="73" t="s">
        <v>29</v>
      </c>
      <c r="S3" s="71" t="s">
        <v>31</v>
      </c>
      <c r="T3" s="74" t="s">
        <v>101</v>
      </c>
      <c r="U3" s="101" t="s">
        <v>90</v>
      </c>
      <c r="V3" s="75" t="s">
        <v>105</v>
      </c>
      <c r="W3" s="76"/>
    </row>
    <row r="4" spans="2:23" x14ac:dyDescent="0.3">
      <c r="B4" s="77" t="s">
        <v>124</v>
      </c>
      <c r="C4" s="78">
        <v>31420.75</v>
      </c>
      <c r="D4" s="79"/>
      <c r="E4" s="79">
        <v>12736.75</v>
      </c>
      <c r="F4" s="79"/>
      <c r="G4" s="79">
        <v>41.03</v>
      </c>
      <c r="H4" s="80">
        <v>1898.46</v>
      </c>
      <c r="I4" s="81">
        <f>SUM(C4:H4)</f>
        <v>46096.99</v>
      </c>
      <c r="J4" s="78">
        <v>485.49</v>
      </c>
      <c r="K4" s="79">
        <v>6906.83</v>
      </c>
      <c r="L4" s="79">
        <v>5227.82</v>
      </c>
      <c r="M4" s="79">
        <f>14.55+146.49+2497.04</f>
        <v>2658.08</v>
      </c>
      <c r="N4" s="79">
        <v>26732.49</v>
      </c>
      <c r="O4" s="79">
        <v>8973.7900000000009</v>
      </c>
      <c r="P4" s="79">
        <v>2</v>
      </c>
      <c r="Q4" s="79">
        <v>174.63</v>
      </c>
      <c r="R4" s="79">
        <f>108.34+843.84+1167.41+5.88+275.44+0.05</f>
        <v>2400.9600000000005</v>
      </c>
      <c r="S4" s="82">
        <f>SUM(J4:R4)</f>
        <v>53562.09</v>
      </c>
      <c r="T4" s="83">
        <f>I4-S4</f>
        <v>-7465.0999999999985</v>
      </c>
      <c r="U4" s="102">
        <v>7471.77</v>
      </c>
      <c r="V4" s="84">
        <f>T4+U4</f>
        <v>6.6700000000018917</v>
      </c>
    </row>
    <row r="5" spans="2:23" x14ac:dyDescent="0.3">
      <c r="B5" s="21" t="s">
        <v>125</v>
      </c>
      <c r="C5" s="29">
        <v>7143.24</v>
      </c>
      <c r="D5" s="30">
        <v>20</v>
      </c>
      <c r="E5" s="30">
        <f>1.64+2175.6</f>
        <v>2177.2399999999998</v>
      </c>
      <c r="F5" s="30"/>
      <c r="G5" s="30">
        <v>1.06</v>
      </c>
      <c r="H5" s="85">
        <f>213.48+0.08</f>
        <v>213.56</v>
      </c>
      <c r="I5" s="82">
        <f t="shared" ref="I5:I19" si="0">SUM(C5:H5)</f>
        <v>9555.0999999999985</v>
      </c>
      <c r="J5" s="29">
        <v>195.42</v>
      </c>
      <c r="K5" s="30">
        <v>3054.61</v>
      </c>
      <c r="L5" s="30">
        <v>1502.86</v>
      </c>
      <c r="M5" s="30">
        <f>1.23+1.91+494.14</f>
        <v>497.28</v>
      </c>
      <c r="N5" s="30">
        <v>7768.43</v>
      </c>
      <c r="O5" s="30">
        <v>2599.35</v>
      </c>
      <c r="P5" s="30">
        <v>0.13</v>
      </c>
      <c r="Q5" s="30">
        <v>95.2</v>
      </c>
      <c r="R5" s="30">
        <f>26.62+208.26+386.96+83.43</f>
        <v>705.27</v>
      </c>
      <c r="S5" s="82">
        <f t="shared" ref="S5:S19" si="1">SUM(J5:R5)</f>
        <v>16418.55</v>
      </c>
      <c r="T5" s="83">
        <f t="shared" ref="T5:T20" si="2">I5-S5</f>
        <v>-6863.4500000000007</v>
      </c>
      <c r="U5" s="103">
        <v>6877.86</v>
      </c>
      <c r="V5" s="84">
        <f t="shared" ref="V5:V20" si="3">T5+U5</f>
        <v>14.409999999998945</v>
      </c>
    </row>
    <row r="6" spans="2:23" x14ac:dyDescent="0.3">
      <c r="B6" s="21" t="s">
        <v>126</v>
      </c>
      <c r="C6" s="29">
        <v>7279.54</v>
      </c>
      <c r="D6" s="30"/>
      <c r="E6" s="30">
        <f>247+138.6+3536.1</f>
        <v>3921.7</v>
      </c>
      <c r="F6" s="30"/>
      <c r="G6" s="30">
        <v>19.45</v>
      </c>
      <c r="H6" s="85">
        <f>268.87+0.32</f>
        <v>269.19</v>
      </c>
      <c r="I6" s="82">
        <f t="shared" si="0"/>
        <v>11489.880000000001</v>
      </c>
      <c r="J6" s="29">
        <v>43.38</v>
      </c>
      <c r="K6" s="30">
        <v>1342.13</v>
      </c>
      <c r="L6" s="30">
        <v>602.55999999999995</v>
      </c>
      <c r="M6" s="30">
        <f>3.22+36.23+1167.82</f>
        <v>1207.27</v>
      </c>
      <c r="N6" s="30">
        <v>8339.14</v>
      </c>
      <c r="O6" s="30">
        <v>2805.66</v>
      </c>
      <c r="P6" s="30">
        <v>0.71</v>
      </c>
      <c r="Q6" s="30">
        <v>123.15</v>
      </c>
      <c r="R6" s="30">
        <f>34.66+251.28+404.59+89.64</f>
        <v>780.17</v>
      </c>
      <c r="S6" s="82">
        <f t="shared" si="1"/>
        <v>15244.169999999998</v>
      </c>
      <c r="T6" s="83">
        <f t="shared" si="2"/>
        <v>-3754.2899999999972</v>
      </c>
      <c r="U6" s="103">
        <v>3754.29</v>
      </c>
      <c r="V6" s="84">
        <f t="shared" si="3"/>
        <v>0</v>
      </c>
    </row>
    <row r="7" spans="2:23" x14ac:dyDescent="0.3">
      <c r="B7" s="21" t="s">
        <v>127</v>
      </c>
      <c r="C7" s="29">
        <v>282.04000000000002</v>
      </c>
      <c r="D7" s="30"/>
      <c r="E7" s="30">
        <v>229.2</v>
      </c>
      <c r="F7" s="30"/>
      <c r="G7" s="30">
        <v>3.93</v>
      </c>
      <c r="H7" s="85">
        <f>5.84+0.02</f>
        <v>5.8599999999999994</v>
      </c>
      <c r="I7" s="82">
        <f t="shared" si="0"/>
        <v>521.03</v>
      </c>
      <c r="J7" s="29">
        <v>0.46</v>
      </c>
      <c r="K7" s="30">
        <v>98</v>
      </c>
      <c r="L7" s="30">
        <v>56.56</v>
      </c>
      <c r="M7" s="30">
        <f>0.43+0.62+8.47</f>
        <v>9.5200000000000014</v>
      </c>
      <c r="N7" s="30">
        <v>716.62</v>
      </c>
      <c r="O7" s="30">
        <v>240.31</v>
      </c>
      <c r="P7" s="30">
        <v>0.02</v>
      </c>
      <c r="Q7" s="30">
        <v>0.26</v>
      </c>
      <c r="R7" s="30">
        <f>2.03+14.72+5.56+4.28</f>
        <v>26.59</v>
      </c>
      <c r="S7" s="82">
        <f t="shared" si="1"/>
        <v>1148.3399999999999</v>
      </c>
      <c r="T7" s="83">
        <f t="shared" si="2"/>
        <v>-627.30999999999995</v>
      </c>
      <c r="U7" s="103">
        <v>627.30999999999995</v>
      </c>
      <c r="V7" s="84">
        <f t="shared" si="3"/>
        <v>0</v>
      </c>
    </row>
    <row r="8" spans="2:23" x14ac:dyDescent="0.3">
      <c r="B8" s="21" t="s">
        <v>128</v>
      </c>
      <c r="C8" s="29">
        <v>410.37</v>
      </c>
      <c r="D8" s="30"/>
      <c r="E8" s="30"/>
      <c r="F8" s="30"/>
      <c r="G8" s="30">
        <v>8.18</v>
      </c>
      <c r="H8" s="85">
        <f>40.2+0.19</f>
        <v>40.39</v>
      </c>
      <c r="I8" s="82">
        <f t="shared" si="0"/>
        <v>458.94</v>
      </c>
      <c r="J8" s="29">
        <v>6.47</v>
      </c>
      <c r="K8" s="30">
        <v>203.44</v>
      </c>
      <c r="L8" s="30">
        <v>90.71</v>
      </c>
      <c r="M8" s="30">
        <f>0.68+6.28+105.13</f>
        <v>112.08999999999999</v>
      </c>
      <c r="N8" s="30">
        <v>1058.5999999999999</v>
      </c>
      <c r="O8" s="30">
        <v>358.1</v>
      </c>
      <c r="P8" s="30">
        <v>0.23</v>
      </c>
      <c r="Q8" s="30">
        <v>5.54</v>
      </c>
      <c r="R8" s="30">
        <f>6.68+54.32+66.76+1.5+10.68</f>
        <v>139.94</v>
      </c>
      <c r="S8" s="82">
        <f t="shared" si="1"/>
        <v>1975.12</v>
      </c>
      <c r="T8" s="83">
        <f t="shared" si="2"/>
        <v>-1516.1799999999998</v>
      </c>
      <c r="U8" s="103">
        <v>1516.18</v>
      </c>
      <c r="V8" s="84">
        <f t="shared" si="3"/>
        <v>0</v>
      </c>
    </row>
    <row r="9" spans="2:23" x14ac:dyDescent="0.3">
      <c r="B9" s="21" t="s">
        <v>129</v>
      </c>
      <c r="C9" s="29">
        <v>166.89</v>
      </c>
      <c r="D9" s="30"/>
      <c r="E9" s="30">
        <v>4.4000000000000004</v>
      </c>
      <c r="F9" s="30"/>
      <c r="G9" s="30">
        <v>9.94</v>
      </c>
      <c r="H9" s="85">
        <f>10.29+0.02</f>
        <v>10.309999999999999</v>
      </c>
      <c r="I9" s="82">
        <f t="shared" si="0"/>
        <v>191.54</v>
      </c>
      <c r="J9" s="29">
        <v>1.43</v>
      </c>
      <c r="K9" s="30">
        <v>47.71</v>
      </c>
      <c r="L9" s="30">
        <v>61.01</v>
      </c>
      <c r="M9" s="30">
        <f>0.06+1.07+7.67</f>
        <v>8.8000000000000007</v>
      </c>
      <c r="N9" s="30">
        <v>591.02</v>
      </c>
      <c r="O9" s="30">
        <v>198.61</v>
      </c>
      <c r="P9" s="30">
        <v>0.02</v>
      </c>
      <c r="Q9" s="30">
        <v>0.26</v>
      </c>
      <c r="R9" s="30">
        <f>1.61+12.39+5.56+8.54</f>
        <v>28.099999999999998</v>
      </c>
      <c r="S9" s="82">
        <f t="shared" si="1"/>
        <v>936.96</v>
      </c>
      <c r="T9" s="83">
        <f t="shared" si="2"/>
        <v>-745.42000000000007</v>
      </c>
      <c r="U9" s="103">
        <v>745.42</v>
      </c>
      <c r="V9" s="84">
        <f t="shared" si="3"/>
        <v>0</v>
      </c>
    </row>
    <row r="10" spans="2:23" x14ac:dyDescent="0.3">
      <c r="B10" s="21" t="s">
        <v>130</v>
      </c>
      <c r="C10" s="29">
        <v>1078.55</v>
      </c>
      <c r="D10" s="30"/>
      <c r="E10" s="30">
        <v>1875.4</v>
      </c>
      <c r="F10" s="30"/>
      <c r="G10" s="30"/>
      <c r="H10" s="85">
        <f>45.04+0.32</f>
        <v>45.36</v>
      </c>
      <c r="I10" s="82">
        <f t="shared" si="0"/>
        <v>2999.31</v>
      </c>
      <c r="J10" s="29">
        <v>11.87</v>
      </c>
      <c r="K10" s="30">
        <v>236.62</v>
      </c>
      <c r="L10" s="30">
        <v>578.9</v>
      </c>
      <c r="M10" s="30">
        <f>2.15+1.63+463.47</f>
        <v>467.25</v>
      </c>
      <c r="N10" s="30">
        <v>2694.93</v>
      </c>
      <c r="O10" s="30">
        <v>908.15</v>
      </c>
      <c r="P10" s="30">
        <v>0.44</v>
      </c>
      <c r="Q10" s="30">
        <v>5.25</v>
      </c>
      <c r="R10" s="30">
        <f>12.18+84.24+117.44+0.92+41.67</f>
        <v>256.45</v>
      </c>
      <c r="S10" s="82">
        <f t="shared" si="1"/>
        <v>5159.8599999999988</v>
      </c>
      <c r="T10" s="83">
        <f t="shared" si="2"/>
        <v>-2160.5499999999988</v>
      </c>
      <c r="U10" s="103">
        <v>2160.56</v>
      </c>
      <c r="V10" s="84">
        <f t="shared" si="3"/>
        <v>1.0000000001127773E-2</v>
      </c>
    </row>
    <row r="11" spans="2:23" x14ac:dyDescent="0.3">
      <c r="B11" s="21" t="s">
        <v>131</v>
      </c>
      <c r="C11" s="29">
        <v>17.78</v>
      </c>
      <c r="D11" s="30"/>
      <c r="E11" s="30"/>
      <c r="F11" s="30"/>
      <c r="G11" s="30"/>
      <c r="H11" s="85">
        <f>52.68+0.02</f>
        <v>52.7</v>
      </c>
      <c r="I11" s="82">
        <f t="shared" si="0"/>
        <v>70.48</v>
      </c>
      <c r="J11" s="29">
        <v>0.46</v>
      </c>
      <c r="K11" s="30">
        <v>45.1</v>
      </c>
      <c r="L11" s="30">
        <v>80.239999999999995</v>
      </c>
      <c r="M11" s="30">
        <f>2.92+24.13+307.36</f>
        <v>334.41</v>
      </c>
      <c r="N11" s="30">
        <v>912.74</v>
      </c>
      <c r="O11" s="30">
        <v>308.42</v>
      </c>
      <c r="P11" s="30">
        <v>0.02</v>
      </c>
      <c r="Q11" s="30">
        <v>4.63</v>
      </c>
      <c r="R11" s="30">
        <f>4.44+40.28+5.56+44.88</f>
        <v>95.16</v>
      </c>
      <c r="S11" s="82">
        <f t="shared" si="1"/>
        <v>1781.1800000000003</v>
      </c>
      <c r="T11" s="83">
        <f t="shared" si="2"/>
        <v>-1710.7000000000003</v>
      </c>
      <c r="U11" s="103">
        <v>1726.61</v>
      </c>
      <c r="V11" s="84">
        <f t="shared" si="3"/>
        <v>15.909999999999627</v>
      </c>
    </row>
    <row r="12" spans="2:23" x14ac:dyDescent="0.3">
      <c r="B12" s="21" t="s">
        <v>134</v>
      </c>
      <c r="C12" s="29">
        <v>48.64</v>
      </c>
      <c r="D12" s="30"/>
      <c r="E12" s="30">
        <v>5</v>
      </c>
      <c r="F12" s="30"/>
      <c r="G12" s="30"/>
      <c r="H12" s="85">
        <v>87.72</v>
      </c>
      <c r="I12" s="82">
        <f t="shared" si="0"/>
        <v>141.36000000000001</v>
      </c>
      <c r="J12" s="29">
        <v>107.61</v>
      </c>
      <c r="K12" s="30">
        <v>97.02</v>
      </c>
      <c r="L12" s="30"/>
      <c r="M12" s="30">
        <v>87.94</v>
      </c>
      <c r="N12" s="30">
        <v>123.5</v>
      </c>
      <c r="O12" s="30">
        <v>41.99</v>
      </c>
      <c r="P12" s="30"/>
      <c r="Q12" s="30"/>
      <c r="R12" s="30">
        <v>17.43</v>
      </c>
      <c r="S12" s="82">
        <f t="shared" si="1"/>
        <v>475.49</v>
      </c>
      <c r="T12" s="83">
        <f t="shared" si="2"/>
        <v>-334.13</v>
      </c>
      <c r="U12" s="103">
        <v>334.14</v>
      </c>
      <c r="V12" s="84">
        <f t="shared" si="3"/>
        <v>9.9999999999909051E-3</v>
      </c>
    </row>
    <row r="13" spans="2:23" x14ac:dyDescent="0.3">
      <c r="B13" s="21" t="s">
        <v>132</v>
      </c>
      <c r="C13" s="29">
        <v>161</v>
      </c>
      <c r="D13" s="30"/>
      <c r="E13" s="30"/>
      <c r="F13" s="30"/>
      <c r="G13" s="30"/>
      <c r="H13" s="85">
        <v>0.11</v>
      </c>
      <c r="I13" s="82">
        <f t="shared" si="0"/>
        <v>161.11000000000001</v>
      </c>
      <c r="J13" s="29"/>
      <c r="K13" s="30">
        <v>3.2</v>
      </c>
      <c r="L13" s="30"/>
      <c r="M13" s="30"/>
      <c r="N13" s="30">
        <v>68</v>
      </c>
      <c r="O13" s="30">
        <v>23.12</v>
      </c>
      <c r="P13" s="30"/>
      <c r="Q13" s="30"/>
      <c r="R13" s="30"/>
      <c r="S13" s="82">
        <f t="shared" si="1"/>
        <v>94.320000000000007</v>
      </c>
      <c r="T13" s="83">
        <f t="shared" si="2"/>
        <v>66.790000000000006</v>
      </c>
      <c r="U13" s="103"/>
      <c r="V13" s="84">
        <f t="shared" si="3"/>
        <v>66.790000000000006</v>
      </c>
    </row>
    <row r="14" spans="2:23" x14ac:dyDescent="0.3">
      <c r="B14" s="21" t="s">
        <v>133</v>
      </c>
      <c r="C14" s="29"/>
      <c r="D14" s="30"/>
      <c r="E14" s="30">
        <v>3.29</v>
      </c>
      <c r="F14" s="30"/>
      <c r="G14" s="30"/>
      <c r="H14" s="85"/>
      <c r="I14" s="82">
        <f t="shared" si="0"/>
        <v>3.29</v>
      </c>
      <c r="J14" s="29"/>
      <c r="K14" s="30"/>
      <c r="L14" s="30"/>
      <c r="M14" s="30"/>
      <c r="N14" s="30"/>
      <c r="O14" s="30"/>
      <c r="P14" s="30"/>
      <c r="Q14" s="30"/>
      <c r="R14" s="30">
        <f>1.95+1.69</f>
        <v>3.6399999999999997</v>
      </c>
      <c r="S14" s="82">
        <f t="shared" si="1"/>
        <v>3.6399999999999997</v>
      </c>
      <c r="T14" s="83">
        <f t="shared" si="2"/>
        <v>-0.34999999999999964</v>
      </c>
      <c r="U14" s="103">
        <v>0.35</v>
      </c>
      <c r="V14" s="84">
        <f t="shared" si="3"/>
        <v>0</v>
      </c>
    </row>
    <row r="15" spans="2:23" ht="15" x14ac:dyDescent="0.25">
      <c r="B15" s="21"/>
      <c r="C15" s="29"/>
      <c r="D15" s="30"/>
      <c r="E15" s="30"/>
      <c r="F15" s="30"/>
      <c r="G15" s="30"/>
      <c r="H15" s="85"/>
      <c r="I15" s="82">
        <f t="shared" si="0"/>
        <v>0</v>
      </c>
      <c r="J15" s="29"/>
      <c r="K15" s="30"/>
      <c r="L15" s="30"/>
      <c r="M15" s="30"/>
      <c r="N15" s="30"/>
      <c r="O15" s="30"/>
      <c r="P15" s="30"/>
      <c r="Q15" s="30"/>
      <c r="R15" s="30"/>
      <c r="S15" s="82">
        <f t="shared" si="1"/>
        <v>0</v>
      </c>
      <c r="T15" s="83">
        <f t="shared" si="2"/>
        <v>0</v>
      </c>
      <c r="U15" s="103"/>
      <c r="V15" s="84">
        <f t="shared" si="3"/>
        <v>0</v>
      </c>
    </row>
    <row r="16" spans="2:23" ht="15" x14ac:dyDescent="0.25">
      <c r="B16" s="21"/>
      <c r="C16" s="29"/>
      <c r="D16" s="30"/>
      <c r="E16" s="30"/>
      <c r="F16" s="30"/>
      <c r="G16" s="30"/>
      <c r="H16" s="85"/>
      <c r="I16" s="82">
        <f t="shared" si="0"/>
        <v>0</v>
      </c>
      <c r="J16" s="29"/>
      <c r="K16" s="30"/>
      <c r="L16" s="30"/>
      <c r="M16" s="30"/>
      <c r="N16" s="30"/>
      <c r="O16" s="30"/>
      <c r="P16" s="30"/>
      <c r="Q16" s="30"/>
      <c r="R16" s="30"/>
      <c r="S16" s="82">
        <f t="shared" si="1"/>
        <v>0</v>
      </c>
      <c r="T16" s="83">
        <f t="shared" si="2"/>
        <v>0</v>
      </c>
      <c r="U16" s="103"/>
      <c r="V16" s="84">
        <f t="shared" si="3"/>
        <v>0</v>
      </c>
    </row>
    <row r="17" spans="2:22" ht="15" x14ac:dyDescent="0.25">
      <c r="B17" s="21"/>
      <c r="C17" s="29"/>
      <c r="D17" s="30"/>
      <c r="E17" s="30"/>
      <c r="F17" s="30"/>
      <c r="G17" s="30"/>
      <c r="H17" s="85"/>
      <c r="I17" s="82">
        <f t="shared" si="0"/>
        <v>0</v>
      </c>
      <c r="J17" s="29"/>
      <c r="K17" s="30"/>
      <c r="L17" s="30"/>
      <c r="M17" s="30"/>
      <c r="N17" s="30"/>
      <c r="O17" s="30"/>
      <c r="P17" s="30"/>
      <c r="Q17" s="30"/>
      <c r="R17" s="30"/>
      <c r="S17" s="82">
        <f t="shared" si="1"/>
        <v>0</v>
      </c>
      <c r="T17" s="83">
        <f t="shared" si="2"/>
        <v>0</v>
      </c>
      <c r="U17" s="103"/>
      <c r="V17" s="84">
        <f t="shared" si="3"/>
        <v>0</v>
      </c>
    </row>
    <row r="18" spans="2:22" ht="15" x14ac:dyDescent="0.25">
      <c r="B18" s="21"/>
      <c r="C18" s="29"/>
      <c r="D18" s="30"/>
      <c r="E18" s="30"/>
      <c r="F18" s="30"/>
      <c r="G18" s="30"/>
      <c r="H18" s="85"/>
      <c r="I18" s="82">
        <f t="shared" si="0"/>
        <v>0</v>
      </c>
      <c r="J18" s="29"/>
      <c r="K18" s="30"/>
      <c r="L18" s="30"/>
      <c r="M18" s="30"/>
      <c r="N18" s="30"/>
      <c r="O18" s="30"/>
      <c r="P18" s="30"/>
      <c r="Q18" s="30"/>
      <c r="R18" s="30"/>
      <c r="S18" s="82">
        <f t="shared" si="1"/>
        <v>0</v>
      </c>
      <c r="T18" s="83">
        <f t="shared" si="2"/>
        <v>0</v>
      </c>
      <c r="U18" s="103"/>
      <c r="V18" s="84">
        <f t="shared" si="3"/>
        <v>0</v>
      </c>
    </row>
    <row r="19" spans="2:22" ht="15.75" thickBot="1" x14ac:dyDescent="0.3">
      <c r="B19" s="86"/>
      <c r="C19" s="87"/>
      <c r="D19" s="88"/>
      <c r="E19" s="88"/>
      <c r="F19" s="88"/>
      <c r="G19" s="88"/>
      <c r="H19" s="89"/>
      <c r="I19" s="82">
        <f t="shared" si="0"/>
        <v>0</v>
      </c>
      <c r="J19" s="87"/>
      <c r="K19" s="88"/>
      <c r="L19" s="88"/>
      <c r="M19" s="88"/>
      <c r="N19" s="88"/>
      <c r="O19" s="88"/>
      <c r="P19" s="88"/>
      <c r="Q19" s="88"/>
      <c r="R19" s="88"/>
      <c r="S19" s="82">
        <f t="shared" si="1"/>
        <v>0</v>
      </c>
      <c r="T19" s="90">
        <f t="shared" si="2"/>
        <v>0</v>
      </c>
      <c r="U19" s="104"/>
      <c r="V19" s="91">
        <f t="shared" si="3"/>
        <v>0</v>
      </c>
    </row>
    <row r="20" spans="2:22" ht="15.75" thickBot="1" x14ac:dyDescent="0.3">
      <c r="B20" s="25" t="s">
        <v>44</v>
      </c>
      <c r="C20" s="33">
        <f>SUM(C4:C19)</f>
        <v>48008.800000000003</v>
      </c>
      <c r="D20" s="33">
        <f t="shared" ref="D20:H20" si="4">SUM(D4:D19)</f>
        <v>20</v>
      </c>
      <c r="E20" s="33">
        <f t="shared" si="4"/>
        <v>20952.980000000003</v>
      </c>
      <c r="F20" s="33">
        <f t="shared" si="4"/>
        <v>0</v>
      </c>
      <c r="G20" s="33">
        <f t="shared" si="4"/>
        <v>83.59</v>
      </c>
      <c r="H20" s="92">
        <f t="shared" si="4"/>
        <v>2623.66</v>
      </c>
      <c r="I20" s="93">
        <f>SUM(I4:I19)</f>
        <v>71689.029999999984</v>
      </c>
      <c r="J20" s="33">
        <f>SUM(J4:J19)</f>
        <v>852.59</v>
      </c>
      <c r="K20" s="33">
        <f t="shared" ref="K20:S20" si="5">SUM(K4:K19)</f>
        <v>12034.660000000002</v>
      </c>
      <c r="L20" s="33">
        <f t="shared" si="5"/>
        <v>8200.66</v>
      </c>
      <c r="M20" s="33">
        <f t="shared" si="5"/>
        <v>5382.6399999999994</v>
      </c>
      <c r="N20" s="33">
        <f t="shared" si="5"/>
        <v>49005.469999999994</v>
      </c>
      <c r="O20" s="33">
        <f t="shared" si="5"/>
        <v>16457.5</v>
      </c>
      <c r="P20" s="33">
        <f t="shared" si="5"/>
        <v>3.57</v>
      </c>
      <c r="Q20" s="33">
        <f t="shared" si="5"/>
        <v>408.92</v>
      </c>
      <c r="R20" s="92">
        <f t="shared" si="5"/>
        <v>4453.7100000000009</v>
      </c>
      <c r="S20" s="93">
        <f t="shared" si="5"/>
        <v>96799.72</v>
      </c>
      <c r="T20" s="94">
        <f t="shared" si="2"/>
        <v>-25110.690000000017</v>
      </c>
      <c r="U20" s="106">
        <f>SUM(U4:U19)</f>
        <v>25214.49</v>
      </c>
      <c r="V20" s="95">
        <f t="shared" si="3"/>
        <v>103.79999999998472</v>
      </c>
    </row>
    <row r="23" spans="2:22" ht="30" customHeight="1" x14ac:dyDescent="0.25"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</row>
  </sheetData>
  <mergeCells count="1">
    <mergeCell ref="B23:V23"/>
  </mergeCells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Vyhodnocení hospodaření PO</vt:lpstr>
      <vt:lpstr>Vyhod. hosp. PO -střediska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2018-04-06T10:34:58Z</cp:lastPrinted>
  <dcterms:created xsi:type="dcterms:W3CDTF">2017-02-23T12:10:09Z</dcterms:created>
  <dcterms:modified xsi:type="dcterms:W3CDTF">2018-05-14T06:54:37Z</dcterms:modified>
</cp:coreProperties>
</file>